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hili\Desktop\SPORT\BOWLING\Bowling Club de Plaisir\Bilan Sportif BCP\2025-2026\"/>
    </mc:Choice>
  </mc:AlternateContent>
  <xr:revisionPtr revIDLastSave="0" documentId="13_ncr:1_{6437FDB1-C760-4B19-ABE4-C978EE064AEB}" xr6:coauthVersionLast="47" xr6:coauthVersionMax="47" xr10:uidLastSave="{00000000-0000-0000-0000-000000000000}"/>
  <bookViews>
    <workbookView xWindow="-108" yWindow="-108" windowWidth="23256" windowHeight="12456" tabRatio="808" activeTab="5" xr2:uid="{00000000-000D-0000-FFFF-FFFF00000000}"/>
  </bookViews>
  <sheets>
    <sheet name="Résultats Ligues et Amical" sheetId="18" r:id="rId1"/>
    <sheet name="Résultats Comp Fédérales" sheetId="3" r:id="rId2"/>
    <sheet name="Bowlings" sheetId="5" r:id="rId3"/>
    <sheet name="Classt saison Ligues-Amical" sheetId="19" r:id="rId4"/>
    <sheet name="Classt saison Comp Fédérales" sheetId="20" r:id="rId5"/>
    <sheet name="Classement saison T.C.C." sheetId="4" r:id="rId6"/>
    <sheet name="Classement CDC" sheetId="9" r:id="rId7"/>
    <sheet name="listing fédéral" sheetId="6" r:id="rId8"/>
    <sheet name="Calendrier Fédéral 2025-26" sheetId="25" r:id="rId9"/>
  </sheets>
  <definedNames>
    <definedName name="_xlnm._FilterDatabase" localSheetId="2" hidden="1">Bowlings!$A$1:$BN$1</definedName>
    <definedName name="_xlnm._FilterDatabase" localSheetId="8" hidden="1">'Calendrier Fédéral 2025-26'!$A$3:$AB$276</definedName>
    <definedName name="_xlnm._FilterDatabase" localSheetId="5" hidden="1">'Classement saison T.C.C.'!$B$1:$L$7</definedName>
    <definedName name="_xlnm._FilterDatabase" localSheetId="4" hidden="1">'Classt saison Comp Fédérales'!$B$1:$J$7</definedName>
    <definedName name="_xlnm._FilterDatabase" localSheetId="3" hidden="1">'Classt saison Ligues-Amical'!$B$1:$J$1</definedName>
    <definedName name="_xlnm._FilterDatabase" localSheetId="7" hidden="1">'listing fédéral'!$B$1:$K$1</definedName>
    <definedName name="_xlnm._FilterDatabase" localSheetId="1" hidden="1">'Résultats Comp Fédérales'!$D$429:$H$429</definedName>
    <definedName name="_xlnm._FilterDatabase" localSheetId="0" hidden="1">'Résultats Ligues et Amical'!$D$139:$H$139</definedName>
    <definedName name="_xlnm.Print_Titles" localSheetId="8">'Calendrier Fédéral 2025-26'!$2:$2</definedName>
    <definedName name="_xlnm.Print_Area" localSheetId="2">Bowlings!$A:$A</definedName>
    <definedName name="_xlnm.Print_Area" localSheetId="8">'Calendrier Fédéral 2025-26'!$A$1:$AB$2</definedName>
    <definedName name="_xlnm.Print_Area" localSheetId="5">'Classement saison T.C.C.'!$B$1:$L$42</definedName>
    <definedName name="_xlnm.Print_Area" localSheetId="4">'Classt saison Comp Fédérales'!$B$1:$J$42</definedName>
    <definedName name="_xlnm.Print_Area" localSheetId="3">'Classt saison Ligues-Amical'!$B$1:$J$45</definedName>
    <definedName name="_xlnm.Print_Area" localSheetId="7">'listing fédéral'!$B:$C</definedName>
  </definedNames>
  <calcPr calcId="191029"/>
</workbook>
</file>

<file path=xl/calcChain.xml><?xml version="1.0" encoding="utf-8"?>
<calcChain xmlns="http://schemas.openxmlformats.org/spreadsheetml/2006/main">
  <c r="G170" i="18" l="1"/>
  <c r="G169" i="18"/>
  <c r="G156" i="18"/>
  <c r="G157" i="18"/>
  <c r="G147" i="18"/>
  <c r="G162" i="18"/>
  <c r="G161" i="18"/>
  <c r="G160" i="18"/>
  <c r="G159" i="18"/>
  <c r="G158" i="18"/>
  <c r="G151" i="18"/>
  <c r="G152" i="18"/>
  <c r="G150" i="18"/>
  <c r="G149" i="18"/>
  <c r="G148" i="18"/>
  <c r="G167" i="18"/>
  <c r="G166" i="18"/>
  <c r="G155" i="18"/>
  <c r="G154" i="18"/>
  <c r="G153" i="18"/>
  <c r="G165" i="18"/>
  <c r="G164" i="18"/>
  <c r="G143" i="18"/>
  <c r="G142" i="18"/>
  <c r="G141" i="18"/>
  <c r="G163" i="18"/>
  <c r="G146" i="18"/>
  <c r="G144" i="18"/>
  <c r="G145" i="18"/>
  <c r="G140" i="18"/>
  <c r="G138" i="18"/>
  <c r="G134" i="18"/>
  <c r="G135" i="18"/>
  <c r="G136" i="18"/>
  <c r="G132" i="18"/>
  <c r="G133" i="18"/>
  <c r="G168" i="3"/>
  <c r="G169" i="3"/>
  <c r="G170" i="3"/>
  <c r="G171" i="3"/>
  <c r="G167" i="3"/>
  <c r="G128" i="18"/>
  <c r="G130" i="18"/>
  <c r="G129" i="18"/>
  <c r="G131" i="18"/>
  <c r="G125" i="18"/>
  <c r="G120" i="18"/>
  <c r="G121" i="18"/>
  <c r="G122" i="18"/>
  <c r="G126" i="18"/>
  <c r="G123" i="18"/>
  <c r="G124" i="18"/>
  <c r="G118" i="18"/>
  <c r="G117" i="18"/>
  <c r="G116" i="18"/>
  <c r="G115" i="18"/>
  <c r="G165" i="3"/>
  <c r="G164" i="3"/>
  <c r="F153" i="3"/>
  <c r="E153" i="3"/>
  <c r="G153" i="3"/>
  <c r="G112" i="18"/>
  <c r="G110" i="18"/>
  <c r="G109" i="18"/>
  <c r="G108" i="18"/>
  <c r="G107" i="18"/>
  <c r="G105" i="18"/>
  <c r="G103" i="18"/>
  <c r="G67" i="18"/>
  <c r="G66" i="18"/>
  <c r="G65" i="18"/>
  <c r="G100" i="18"/>
  <c r="G101" i="18"/>
  <c r="G69" i="18"/>
  <c r="Q47" i="5"/>
  <c r="G161" i="3" l="1"/>
  <c r="G160" i="3"/>
  <c r="G159" i="3"/>
  <c r="G157" i="3"/>
  <c r="G156" i="3"/>
  <c r="G151" i="3"/>
  <c r="G150" i="3"/>
  <c r="E91" i="9"/>
  <c r="F91" i="9"/>
  <c r="E92" i="9"/>
  <c r="F92" i="9"/>
  <c r="E93" i="9"/>
  <c r="F93" i="9"/>
  <c r="F90" i="9"/>
  <c r="E90" i="9"/>
  <c r="E87" i="9"/>
  <c r="F87" i="9"/>
  <c r="E88" i="9"/>
  <c r="F88" i="9"/>
  <c r="E89" i="9"/>
  <c r="F89" i="9"/>
  <c r="F86" i="9"/>
  <c r="E86" i="9"/>
  <c r="E77" i="9"/>
  <c r="F77" i="9"/>
  <c r="E78" i="9"/>
  <c r="F78" i="9"/>
  <c r="E79" i="9"/>
  <c r="F79" i="9"/>
  <c r="E80" i="9"/>
  <c r="F80" i="9"/>
  <c r="E81" i="9"/>
  <c r="F81" i="9"/>
  <c r="E82" i="9"/>
  <c r="F82" i="9"/>
  <c r="E71" i="9"/>
  <c r="F71" i="9"/>
  <c r="E72" i="9"/>
  <c r="F72" i="9"/>
  <c r="E73" i="9"/>
  <c r="F73" i="9"/>
  <c r="E74" i="9"/>
  <c r="F74" i="9"/>
  <c r="E75" i="9"/>
  <c r="F75" i="9"/>
  <c r="F70" i="9"/>
  <c r="E70" i="9"/>
  <c r="E59" i="9"/>
  <c r="F59" i="9"/>
  <c r="E60" i="9"/>
  <c r="F60" i="9"/>
  <c r="E61" i="9"/>
  <c r="F61" i="9"/>
  <c r="E62" i="9"/>
  <c r="F62" i="9"/>
  <c r="F58" i="9"/>
  <c r="E58" i="9"/>
  <c r="E55" i="9"/>
  <c r="F55" i="9"/>
  <c r="E56" i="9"/>
  <c r="F56" i="9"/>
  <c r="E57" i="9"/>
  <c r="F57" i="9"/>
  <c r="F54" i="9"/>
  <c r="E54" i="9"/>
  <c r="H54" i="9"/>
  <c r="H44" i="9"/>
  <c r="H37" i="9"/>
  <c r="H31" i="9"/>
  <c r="H27" i="9"/>
  <c r="H23" i="9"/>
  <c r="H15" i="9"/>
  <c r="H8" i="9"/>
  <c r="H2" i="9"/>
  <c r="E28" i="9"/>
  <c r="F28" i="9"/>
  <c r="E29" i="9"/>
  <c r="F29" i="9"/>
  <c r="E30" i="9"/>
  <c r="F30" i="9"/>
  <c r="E24" i="9"/>
  <c r="F24" i="9"/>
  <c r="E25" i="9"/>
  <c r="F25" i="9"/>
  <c r="E45" i="9"/>
  <c r="F45" i="9"/>
  <c r="E46" i="9"/>
  <c r="F46" i="9"/>
  <c r="E47" i="9"/>
  <c r="F47" i="9"/>
  <c r="E48" i="9"/>
  <c r="F48" i="9"/>
  <c r="E49" i="9"/>
  <c r="F49" i="9"/>
  <c r="E50" i="9"/>
  <c r="F50" i="9"/>
  <c r="E38" i="9"/>
  <c r="F38" i="9"/>
  <c r="E39" i="9"/>
  <c r="F39" i="9"/>
  <c r="E40" i="9"/>
  <c r="F40" i="9"/>
  <c r="E41" i="9"/>
  <c r="F41" i="9"/>
  <c r="E42" i="9"/>
  <c r="F42" i="9"/>
  <c r="E32" i="9"/>
  <c r="F32" i="9"/>
  <c r="E33" i="9"/>
  <c r="F33" i="9"/>
  <c r="E34" i="9"/>
  <c r="F34" i="9"/>
  <c r="E35" i="9"/>
  <c r="F35" i="9"/>
  <c r="E36" i="9"/>
  <c r="F36" i="9"/>
  <c r="E16" i="9"/>
  <c r="F16" i="9"/>
  <c r="E17" i="9"/>
  <c r="F17" i="9"/>
  <c r="E18" i="9"/>
  <c r="F18" i="9"/>
  <c r="E19" i="9"/>
  <c r="F19" i="9"/>
  <c r="E20" i="9"/>
  <c r="F20" i="9"/>
  <c r="E21" i="9"/>
  <c r="F21" i="9"/>
  <c r="E9" i="9"/>
  <c r="F9" i="9"/>
  <c r="E10" i="9"/>
  <c r="F10" i="9"/>
  <c r="E11" i="9"/>
  <c r="F11" i="9"/>
  <c r="E12" i="9"/>
  <c r="F12" i="9"/>
  <c r="E13" i="9"/>
  <c r="F13" i="9"/>
  <c r="G404" i="3"/>
  <c r="G403" i="3"/>
  <c r="G402" i="3"/>
  <c r="G401" i="3"/>
  <c r="G399" i="3"/>
  <c r="G398" i="3"/>
  <c r="G397" i="3"/>
  <c r="G395" i="3"/>
  <c r="G394" i="3"/>
  <c r="G393" i="3"/>
  <c r="G392" i="3"/>
  <c r="G391" i="3"/>
  <c r="G390" i="3"/>
  <c r="G389" i="3"/>
  <c r="G386" i="3"/>
  <c r="G385" i="3"/>
  <c r="G384" i="3"/>
  <c r="G383" i="3"/>
  <c r="G382" i="3"/>
  <c r="G381" i="3"/>
  <c r="G379" i="3"/>
  <c r="G378" i="3"/>
  <c r="G377" i="3"/>
  <c r="G376" i="3"/>
  <c r="G375" i="3"/>
  <c r="G374" i="3"/>
  <c r="G243" i="3"/>
  <c r="G242" i="3"/>
  <c r="G241" i="3"/>
  <c r="G240" i="3"/>
  <c r="G238" i="3"/>
  <c r="G237" i="3"/>
  <c r="G236" i="3"/>
  <c r="G234" i="3"/>
  <c r="G233" i="3"/>
  <c r="G232" i="3"/>
  <c r="G231" i="3"/>
  <c r="G230" i="3"/>
  <c r="G229" i="3"/>
  <c r="G228" i="3"/>
  <c r="G225" i="3"/>
  <c r="G224" i="3"/>
  <c r="G223" i="3"/>
  <c r="G222" i="3"/>
  <c r="G221" i="3"/>
  <c r="G220" i="3"/>
  <c r="G218" i="3"/>
  <c r="G217" i="3"/>
  <c r="G216" i="3"/>
  <c r="G215" i="3"/>
  <c r="G214" i="3"/>
  <c r="G213" i="3"/>
  <c r="E3" i="9"/>
  <c r="F3" i="9"/>
  <c r="E4" i="9"/>
  <c r="F4" i="9"/>
  <c r="E5" i="9"/>
  <c r="F5" i="9"/>
  <c r="E6" i="9"/>
  <c r="F6" i="9"/>
  <c r="E7" i="9"/>
  <c r="F7" i="9"/>
  <c r="F2" i="9"/>
  <c r="E2" i="9"/>
  <c r="G146" i="3"/>
  <c r="G148" i="3"/>
  <c r="G147" i="3"/>
  <c r="G145" i="3"/>
  <c r="G143" i="3"/>
  <c r="G142" i="3"/>
  <c r="G141" i="3"/>
  <c r="G139" i="3"/>
  <c r="G137" i="3"/>
  <c r="G138" i="3"/>
  <c r="G136" i="3"/>
  <c r="G135" i="3"/>
  <c r="G134" i="3"/>
  <c r="G133" i="3"/>
  <c r="G126" i="3"/>
  <c r="G130" i="3"/>
  <c r="G128" i="3"/>
  <c r="G127" i="3"/>
  <c r="G129" i="3"/>
  <c r="G125" i="3"/>
  <c r="G121" i="3"/>
  <c r="G122" i="3"/>
  <c r="G123" i="3"/>
  <c r="G120" i="3"/>
  <c r="G119" i="3"/>
  <c r="G118" i="3"/>
  <c r="G24" i="19"/>
  <c r="G29" i="19"/>
  <c r="K38" i="4" l="1"/>
  <c r="G38" i="4"/>
  <c r="F38" i="4"/>
  <c r="G36" i="20"/>
  <c r="F36" i="20"/>
  <c r="G36" i="19"/>
  <c r="F36" i="19"/>
  <c r="H36" i="19"/>
  <c r="J36" i="19"/>
  <c r="H36" i="20"/>
  <c r="J36" i="20"/>
  <c r="H38" i="4"/>
  <c r="J38" i="4" s="1"/>
  <c r="G40" i="6"/>
  <c r="H40" i="6"/>
  <c r="G116" i="3"/>
  <c r="G115" i="3"/>
  <c r="G114" i="3"/>
  <c r="G113" i="3"/>
  <c r="G111" i="3"/>
  <c r="G110" i="3"/>
  <c r="G109" i="3"/>
  <c r="G108" i="3"/>
  <c r="G106" i="3"/>
  <c r="G107" i="3"/>
  <c r="G104" i="3"/>
  <c r="G103" i="3"/>
  <c r="G102" i="3"/>
  <c r="G101" i="3"/>
  <c r="G100" i="3"/>
  <c r="G99" i="3"/>
  <c r="G98" i="3"/>
  <c r="G97" i="3"/>
  <c r="G97" i="18"/>
  <c r="G95" i="18"/>
  <c r="G88" i="18"/>
  <c r="G98" i="18"/>
  <c r="G96" i="18"/>
  <c r="G87" i="18"/>
  <c r="G76" i="18"/>
  <c r="G78" i="18"/>
  <c r="G91" i="18"/>
  <c r="G90" i="18"/>
  <c r="G73" i="18"/>
  <c r="G94" i="18"/>
  <c r="G71" i="18"/>
  <c r="G93" i="18"/>
  <c r="G75" i="18"/>
  <c r="G92" i="18"/>
  <c r="G84" i="18"/>
  <c r="G82" i="18"/>
  <c r="G74" i="18"/>
  <c r="G77" i="18"/>
  <c r="G83" i="18"/>
  <c r="G81" i="18"/>
  <c r="G80" i="18"/>
  <c r="G86" i="18"/>
  <c r="G85" i="18"/>
  <c r="G79" i="18"/>
  <c r="G72" i="18"/>
  <c r="G89" i="18"/>
  <c r="G88" i="3"/>
  <c r="G87" i="3"/>
  <c r="G86" i="3"/>
  <c r="G85" i="3"/>
  <c r="G84" i="3"/>
  <c r="G83" i="3"/>
  <c r="G95" i="3"/>
  <c r="G94" i="3"/>
  <c r="G92" i="3"/>
  <c r="G91" i="3"/>
  <c r="G90" i="3"/>
  <c r="G89" i="3"/>
  <c r="BO40" i="5"/>
  <c r="BO41" i="5"/>
  <c r="BO12" i="5"/>
  <c r="B12" i="5"/>
  <c r="L38" i="4" s="1"/>
  <c r="B40" i="5"/>
  <c r="B41" i="5"/>
  <c r="G43" i="6"/>
  <c r="H43" i="6"/>
  <c r="BO29" i="5"/>
  <c r="K40" i="4"/>
  <c r="G40" i="4"/>
  <c r="F40" i="4"/>
  <c r="H40" i="4"/>
  <c r="J40" i="4"/>
  <c r="G32" i="20"/>
  <c r="F32" i="20"/>
  <c r="H32" i="20"/>
  <c r="J32" i="20"/>
  <c r="G40" i="19"/>
  <c r="F40" i="19"/>
  <c r="H40" i="19"/>
  <c r="J40" i="19"/>
  <c r="B29" i="5"/>
  <c r="L40" i="4" s="1"/>
  <c r="G81" i="3"/>
  <c r="G80" i="3"/>
  <c r="G79" i="3"/>
  <c r="G78" i="3"/>
  <c r="G77" i="3"/>
  <c r="G76" i="3"/>
  <c r="G74" i="3" l="1"/>
  <c r="G73" i="3"/>
  <c r="G72" i="3"/>
  <c r="G71" i="3"/>
  <c r="G69" i="3"/>
  <c r="G68" i="3"/>
  <c r="G67" i="3"/>
  <c r="G66" i="3"/>
  <c r="G65" i="3"/>
  <c r="G64" i="3"/>
  <c r="G63" i="3"/>
  <c r="G62" i="3"/>
  <c r="G61" i="3"/>
  <c r="G60" i="3"/>
  <c r="G59" i="3"/>
  <c r="G58" i="3"/>
  <c r="G48" i="3"/>
  <c r="G51" i="3"/>
  <c r="G52" i="3"/>
  <c r="G53" i="3"/>
  <c r="G54" i="3"/>
  <c r="G49" i="3"/>
  <c r="G50" i="3"/>
  <c r="G55" i="3"/>
  <c r="G56" i="3"/>
  <c r="G47" i="3"/>
  <c r="K39" i="4"/>
  <c r="G39" i="4"/>
  <c r="F39" i="4"/>
  <c r="G31" i="20"/>
  <c r="F31" i="20"/>
  <c r="G44" i="19"/>
  <c r="F44" i="19"/>
  <c r="H44" i="19" s="1"/>
  <c r="J44" i="19" s="1"/>
  <c r="BO45" i="5"/>
  <c r="B45" i="5"/>
  <c r="L39" i="4" s="1"/>
  <c r="G36" i="6"/>
  <c r="H36" i="6" s="1"/>
  <c r="G63" i="18"/>
  <c r="G62" i="18"/>
  <c r="G61" i="18"/>
  <c r="G57" i="18"/>
  <c r="K21" i="4"/>
  <c r="K29" i="4"/>
  <c r="G21" i="4"/>
  <c r="G29" i="4"/>
  <c r="F21" i="4"/>
  <c r="F29" i="4"/>
  <c r="G16" i="20"/>
  <c r="F16" i="20"/>
  <c r="G43" i="20"/>
  <c r="F43" i="20"/>
  <c r="H16" i="20"/>
  <c r="J16" i="20" s="1"/>
  <c r="H43" i="20"/>
  <c r="J43" i="20" s="1"/>
  <c r="F24" i="19"/>
  <c r="H24" i="19"/>
  <c r="J24" i="19" s="1"/>
  <c r="F29" i="19"/>
  <c r="H29" i="19" s="1"/>
  <c r="J29" i="19" s="1"/>
  <c r="H29" i="4"/>
  <c r="H21" i="4"/>
  <c r="J29" i="4"/>
  <c r="J21" i="4"/>
  <c r="G21" i="6"/>
  <c r="H21" i="6" s="1"/>
  <c r="G33" i="6"/>
  <c r="H33" i="6" s="1"/>
  <c r="BO37" i="5"/>
  <c r="BO38" i="5"/>
  <c r="G52" i="18"/>
  <c r="G47" i="18"/>
  <c r="G55" i="18"/>
  <c r="G54" i="18"/>
  <c r="G50" i="18"/>
  <c r="G49" i="18"/>
  <c r="H31" i="20" l="1"/>
  <c r="J31" i="20" s="1"/>
  <c r="H39" i="4"/>
  <c r="J39" i="4" s="1"/>
  <c r="G9" i="6"/>
  <c r="H9" i="6" s="1"/>
  <c r="K10" i="4"/>
  <c r="G10" i="4"/>
  <c r="F10" i="4"/>
  <c r="H10" i="4"/>
  <c r="J10" i="4" s="1"/>
  <c r="G9" i="20"/>
  <c r="F9" i="20"/>
  <c r="H9" i="20"/>
  <c r="J9" i="20" s="1"/>
  <c r="G10" i="19"/>
  <c r="F10" i="19"/>
  <c r="H10" i="19"/>
  <c r="J10" i="19"/>
  <c r="B37" i="5"/>
  <c r="L29" i="4" s="1"/>
  <c r="B38" i="5"/>
  <c r="L21" i="4" s="1"/>
  <c r="BO5" i="5"/>
  <c r="B5" i="5"/>
  <c r="L10" i="4" s="1"/>
  <c r="F63" i="9" l="1"/>
  <c r="F64" i="9"/>
  <c r="F65" i="9"/>
  <c r="F66" i="9"/>
  <c r="F67" i="9"/>
  <c r="F68" i="9"/>
  <c r="F76" i="9"/>
  <c r="E121" i="9"/>
  <c r="F121" i="9"/>
  <c r="E122" i="9"/>
  <c r="F122" i="9"/>
  <c r="E76" i="9"/>
  <c r="G77" i="9"/>
  <c r="E64" i="9"/>
  <c r="E65" i="9"/>
  <c r="E66" i="9"/>
  <c r="E67" i="9"/>
  <c r="E68" i="9"/>
  <c r="E63" i="9"/>
  <c r="G89" i="9"/>
  <c r="G38" i="6"/>
  <c r="H38" i="6"/>
  <c r="G44" i="6"/>
  <c r="H44" i="6"/>
  <c r="G41" i="6"/>
  <c r="H41" i="6"/>
  <c r="G35" i="6"/>
  <c r="H35" i="6"/>
  <c r="BO35" i="5" l="1"/>
  <c r="K37" i="4"/>
  <c r="K42" i="4"/>
  <c r="K44" i="4"/>
  <c r="B35" i="5"/>
  <c r="L44" i="4" s="1"/>
  <c r="G37" i="4"/>
  <c r="F37" i="4"/>
  <c r="G42" i="4"/>
  <c r="F42" i="4"/>
  <c r="G44" i="4"/>
  <c r="F44" i="4"/>
  <c r="G43" i="4"/>
  <c r="G35" i="19"/>
  <c r="F35" i="19"/>
  <c r="G39" i="19"/>
  <c r="F39" i="19"/>
  <c r="G43" i="19"/>
  <c r="F43" i="19"/>
  <c r="H37" i="4"/>
  <c r="J37" i="4" s="1"/>
  <c r="H42" i="4"/>
  <c r="J42" i="4" s="1"/>
  <c r="H44" i="4"/>
  <c r="J44" i="4" s="1"/>
  <c r="G30" i="20"/>
  <c r="F30" i="20"/>
  <c r="G38" i="20"/>
  <c r="F38" i="20"/>
  <c r="G42" i="20"/>
  <c r="F42" i="20"/>
  <c r="H43" i="19"/>
  <c r="J43" i="19"/>
  <c r="H39" i="19"/>
  <c r="J39" i="19"/>
  <c r="H35" i="19"/>
  <c r="J35" i="19"/>
  <c r="H30" i="20"/>
  <c r="J30" i="20" s="1"/>
  <c r="H38" i="20"/>
  <c r="J38" i="20" s="1"/>
  <c r="H42" i="20"/>
  <c r="J42" i="20" s="1"/>
  <c r="BO22" i="5"/>
  <c r="BO23" i="5"/>
  <c r="B22" i="5"/>
  <c r="L42" i="4" s="1"/>
  <c r="B23" i="5"/>
  <c r="L37" i="4" s="1"/>
  <c r="G84" i="9"/>
  <c r="G85" i="9"/>
  <c r="G28" i="9"/>
  <c r="F37" i="9"/>
  <c r="E37" i="9"/>
  <c r="F44" i="9"/>
  <c r="G52" i="9"/>
  <c r="G53" i="9"/>
  <c r="E44" i="9"/>
  <c r="F31" i="9" l="1"/>
  <c r="E31" i="9"/>
  <c r="H58" i="9"/>
  <c r="E125" i="9"/>
  <c r="F125" i="9"/>
  <c r="G125" i="9" l="1"/>
  <c r="H125" i="9" s="1"/>
  <c r="G60" i="9"/>
  <c r="E126" i="9" l="1"/>
  <c r="F126" i="9"/>
  <c r="F27" i="9"/>
  <c r="E27" i="9"/>
  <c r="F23" i="9"/>
  <c r="E23" i="9"/>
  <c r="E120" i="9" s="1"/>
  <c r="F8" i="9"/>
  <c r="E8" i="9"/>
  <c r="E111" i="9"/>
  <c r="F15" i="9"/>
  <c r="E15" i="9"/>
  <c r="G36" i="9"/>
  <c r="G48" i="9"/>
  <c r="G49" i="9"/>
  <c r="G42" i="9"/>
  <c r="G67" i="9"/>
  <c r="G79" i="9"/>
  <c r="G80" i="9"/>
  <c r="G81" i="9"/>
  <c r="G72" i="9"/>
  <c r="G73" i="9"/>
  <c r="G74" i="9"/>
  <c r="G75" i="9"/>
  <c r="E105" i="9"/>
  <c r="F105" i="9"/>
  <c r="E106" i="9"/>
  <c r="F106" i="9"/>
  <c r="E107" i="9"/>
  <c r="F107" i="9"/>
  <c r="E108" i="9"/>
  <c r="F108" i="9"/>
  <c r="E112" i="9"/>
  <c r="F112" i="9"/>
  <c r="E113" i="9"/>
  <c r="F113" i="9"/>
  <c r="E114" i="9"/>
  <c r="F114" i="9"/>
  <c r="E115" i="9"/>
  <c r="F115" i="9"/>
  <c r="E116" i="9"/>
  <c r="F116" i="9"/>
  <c r="E110" i="9"/>
  <c r="F110" i="9"/>
  <c r="G110" i="9"/>
  <c r="H110" i="9"/>
  <c r="F127" i="9"/>
  <c r="E127" i="9"/>
  <c r="G127" i="9" s="1"/>
  <c r="H127" i="9" s="1"/>
  <c r="F124" i="9"/>
  <c r="E124" i="9"/>
  <c r="G124" i="9" s="1"/>
  <c r="H124" i="9" s="1"/>
  <c r="G93" i="9"/>
  <c r="G92" i="9"/>
  <c r="G91" i="9"/>
  <c r="H90" i="9"/>
  <c r="G90" i="9"/>
  <c r="G62" i="9"/>
  <c r="G61" i="9"/>
  <c r="G59" i="9"/>
  <c r="G58" i="9"/>
  <c r="G30" i="9"/>
  <c r="G29" i="9"/>
  <c r="G27" i="9"/>
  <c r="F101" i="9"/>
  <c r="E101" i="9"/>
  <c r="G126" i="9" l="1"/>
  <c r="H126" i="9" s="1"/>
  <c r="G115" i="9"/>
  <c r="H115" i="9" s="1"/>
  <c r="G32" i="6" l="1"/>
  <c r="H32" i="6" s="1"/>
  <c r="G12" i="9" l="1"/>
  <c r="G13" i="9"/>
  <c r="G11" i="9"/>
  <c r="G10" i="9"/>
  <c r="G17" i="9"/>
  <c r="G20" i="9"/>
  <c r="G18" i="9"/>
  <c r="F99" i="9"/>
  <c r="G5" i="9" l="1"/>
  <c r="E99" i="9"/>
  <c r="G25" i="6"/>
  <c r="H25" i="6"/>
  <c r="G4" i="6"/>
  <c r="H4" i="6" s="1"/>
  <c r="BO15" i="5"/>
  <c r="BO16" i="5"/>
  <c r="G26" i="4"/>
  <c r="F26" i="4"/>
  <c r="H26" i="4"/>
  <c r="J26" i="4"/>
  <c r="K26" i="4"/>
  <c r="K5" i="4"/>
  <c r="G5" i="4"/>
  <c r="F5" i="4"/>
  <c r="H5" i="4"/>
  <c r="J5" i="4"/>
  <c r="G21" i="20"/>
  <c r="F21" i="20"/>
  <c r="H21" i="20"/>
  <c r="J21" i="20"/>
  <c r="G6" i="20"/>
  <c r="F6" i="20"/>
  <c r="H6" i="20"/>
  <c r="J6" i="20"/>
  <c r="G27" i="19"/>
  <c r="F27" i="19"/>
  <c r="H27" i="19"/>
  <c r="J27" i="19"/>
  <c r="G4" i="19"/>
  <c r="F4" i="19"/>
  <c r="H4" i="19"/>
  <c r="J4" i="19"/>
  <c r="B15" i="5"/>
  <c r="L5" i="4" s="1"/>
  <c r="B16" i="5"/>
  <c r="L26" i="4" s="1"/>
  <c r="G11" i="20" l="1"/>
  <c r="G12" i="20"/>
  <c r="G20" i="20"/>
  <c r="G28" i="20"/>
  <c r="G8" i="20"/>
  <c r="G10" i="20"/>
  <c r="G18" i="20"/>
  <c r="G34" i="20"/>
  <c r="G35" i="20"/>
  <c r="G17" i="20"/>
  <c r="G37" i="20"/>
  <c r="G2" i="20"/>
  <c r="G15" i="20"/>
  <c r="G19" i="20"/>
  <c r="G26" i="20"/>
  <c r="G23" i="20"/>
  <c r="G22" i="20"/>
  <c r="G14" i="20"/>
  <c r="G7" i="20"/>
  <c r="G5" i="20"/>
  <c r="G39" i="20"/>
  <c r="G40" i="20"/>
  <c r="G4" i="20"/>
  <c r="G41" i="20"/>
  <c r="G29" i="20"/>
  <c r="G24" i="20"/>
  <c r="G25" i="20"/>
  <c r="G13" i="20"/>
  <c r="G3" i="20"/>
  <c r="G44" i="20"/>
  <c r="G27" i="20"/>
  <c r="J447" i="3" l="1"/>
  <c r="G65" i="9" l="1"/>
  <c r="G108" i="9" l="1"/>
  <c r="H108" i="9" s="1"/>
  <c r="F34" i="20"/>
  <c r="H34" i="20"/>
  <c r="J34" i="20"/>
  <c r="H70" i="9" l="1"/>
  <c r="G40" i="9"/>
  <c r="G41" i="9"/>
  <c r="G39" i="6"/>
  <c r="H39" i="6"/>
  <c r="G116" i="9" l="1"/>
  <c r="H116" i="9" s="1"/>
  <c r="G107" i="9"/>
  <c r="H107" i="9" s="1"/>
  <c r="G106" i="9"/>
  <c r="H106" i="9" s="1"/>
  <c r="K35" i="4"/>
  <c r="G35" i="4"/>
  <c r="F35" i="4"/>
  <c r="F35" i="20"/>
  <c r="H35" i="20" s="1"/>
  <c r="J35" i="20" s="1"/>
  <c r="G33" i="19"/>
  <c r="F33" i="19"/>
  <c r="H33" i="19"/>
  <c r="J33" i="19"/>
  <c r="BO11" i="5"/>
  <c r="B11" i="5"/>
  <c r="L35" i="4" s="1"/>
  <c r="H35" i="4"/>
  <c r="J35" i="4" s="1"/>
  <c r="G83" i="9" l="1"/>
  <c r="G2" i="9"/>
  <c r="G3" i="9"/>
  <c r="E98" i="9"/>
  <c r="F98" i="9"/>
  <c r="G4" i="9"/>
  <c r="G7" i="9"/>
  <c r="E100" i="9"/>
  <c r="F100" i="9"/>
  <c r="G6" i="9"/>
  <c r="G16" i="9"/>
  <c r="E103" i="9"/>
  <c r="F103" i="9"/>
  <c r="G8" i="9"/>
  <c r="E104" i="9"/>
  <c r="F104" i="9"/>
  <c r="G9" i="9"/>
  <c r="G15" i="9"/>
  <c r="G23" i="9"/>
  <c r="G25" i="9"/>
  <c r="G24" i="9"/>
  <c r="G31" i="9"/>
  <c r="G32" i="9"/>
  <c r="G33" i="9"/>
  <c r="G35" i="9"/>
  <c r="G34" i="9"/>
  <c r="G44" i="9"/>
  <c r="G45" i="9"/>
  <c r="G46" i="9"/>
  <c r="G47" i="9"/>
  <c r="G50" i="9"/>
  <c r="G51" i="9"/>
  <c r="G37" i="9"/>
  <c r="G38" i="9"/>
  <c r="G39" i="9"/>
  <c r="G54" i="9"/>
  <c r="G55" i="9"/>
  <c r="G56" i="9"/>
  <c r="G57" i="9"/>
  <c r="G63" i="9"/>
  <c r="H63" i="9"/>
  <c r="G64" i="9"/>
  <c r="G68" i="9"/>
  <c r="G66" i="9"/>
  <c r="G76" i="9"/>
  <c r="H76" i="9"/>
  <c r="G78" i="9"/>
  <c r="G82" i="9"/>
  <c r="G70" i="9"/>
  <c r="G71" i="9"/>
  <c r="G86" i="9"/>
  <c r="H86" i="9"/>
  <c r="G87" i="9"/>
  <c r="G88" i="9"/>
  <c r="F96" i="9"/>
  <c r="F97" i="9"/>
  <c r="G98" i="9"/>
  <c r="H98" i="9" s="1"/>
  <c r="F111" i="9"/>
  <c r="G111" i="9"/>
  <c r="H111" i="9" s="1"/>
  <c r="G112" i="9"/>
  <c r="H112" i="9" s="1"/>
  <c r="G103" i="9"/>
  <c r="H103" i="9" s="1"/>
  <c r="G104" i="9"/>
  <c r="H104" i="9" s="1"/>
  <c r="G105" i="9"/>
  <c r="H105" i="9" s="1"/>
  <c r="F120" i="9"/>
  <c r="G120" i="9"/>
  <c r="H120" i="9" s="1"/>
  <c r="G100" i="9" l="1"/>
  <c r="H100" i="9" s="1"/>
  <c r="E97" i="9"/>
  <c r="G97" i="9" s="1"/>
  <c r="H97" i="9" s="1"/>
  <c r="E96" i="9"/>
  <c r="G96" i="9" s="1"/>
  <c r="H96" i="9" s="1"/>
  <c r="G99" i="9"/>
  <c r="H99" i="9" s="1"/>
  <c r="G101" i="9"/>
  <c r="H101" i="9" s="1"/>
  <c r="G122" i="9"/>
  <c r="H122" i="9" s="1"/>
  <c r="G121" i="9"/>
  <c r="H121" i="9" s="1"/>
  <c r="G21" i="9"/>
  <c r="G114" i="9"/>
  <c r="H114" i="9" s="1"/>
  <c r="G19" i="9"/>
  <c r="G113" i="9"/>
  <c r="H113" i="9" s="1"/>
  <c r="AY47" i="5" l="1"/>
  <c r="G30" i="6"/>
  <c r="H30" i="6" s="1"/>
  <c r="K30" i="4" l="1"/>
  <c r="G30" i="4"/>
  <c r="F30" i="4"/>
  <c r="H30" i="4"/>
  <c r="J30" i="4"/>
  <c r="F24" i="20"/>
  <c r="H24" i="20"/>
  <c r="J24" i="20"/>
  <c r="G30" i="19"/>
  <c r="F30" i="19"/>
  <c r="H30" i="19"/>
  <c r="J30" i="19"/>
  <c r="BO2" i="5"/>
  <c r="BO3" i="5"/>
  <c r="BO4" i="5"/>
  <c r="BO6" i="5"/>
  <c r="BO7" i="5"/>
  <c r="BO8" i="5"/>
  <c r="BO9" i="5"/>
  <c r="BO10" i="5"/>
  <c r="BO13" i="5"/>
  <c r="BO14" i="5"/>
  <c r="BO17" i="5"/>
  <c r="BO18" i="5"/>
  <c r="BO19" i="5"/>
  <c r="BO20" i="5"/>
  <c r="BO21" i="5"/>
  <c r="BO24" i="5"/>
  <c r="BO25" i="5"/>
  <c r="BO26" i="5"/>
  <c r="BO27" i="5"/>
  <c r="BO28" i="5"/>
  <c r="BO30" i="5"/>
  <c r="BO31" i="5"/>
  <c r="BO32" i="5"/>
  <c r="BO33" i="5"/>
  <c r="BO34" i="5"/>
  <c r="BO36" i="5"/>
  <c r="BO39" i="5"/>
  <c r="BO42" i="5"/>
  <c r="BO43" i="5"/>
  <c r="BO44" i="5"/>
  <c r="BO46" i="5"/>
  <c r="B39" i="5"/>
  <c r="B34" i="5" l="1"/>
  <c r="L30" i="4" s="1"/>
  <c r="B36" i="5"/>
  <c r="AB47" i="5"/>
  <c r="K23" i="4"/>
  <c r="G23" i="4"/>
  <c r="F23" i="4"/>
  <c r="H23" i="4" s="1"/>
  <c r="J23" i="4" s="1"/>
  <c r="G27" i="4"/>
  <c r="F27" i="4"/>
  <c r="H27" i="4"/>
  <c r="J27" i="4"/>
  <c r="K27" i="4"/>
  <c r="G34" i="4"/>
  <c r="F34" i="4"/>
  <c r="K14" i="4"/>
  <c r="G14" i="4"/>
  <c r="F14" i="4"/>
  <c r="H14" i="4" s="1"/>
  <c r="J14" i="4" s="1"/>
  <c r="K15" i="4"/>
  <c r="G15" i="4"/>
  <c r="F15" i="4"/>
  <c r="H15" i="4"/>
  <c r="J15" i="4" s="1"/>
  <c r="F44" i="20"/>
  <c r="H44" i="20"/>
  <c r="J44" i="20" s="1"/>
  <c r="F25" i="20"/>
  <c r="H25" i="20"/>
  <c r="J25" i="20" s="1"/>
  <c r="F14" i="20"/>
  <c r="H14" i="20"/>
  <c r="J14" i="20" s="1"/>
  <c r="F15" i="20"/>
  <c r="H15" i="20"/>
  <c r="J15" i="20" s="1"/>
  <c r="G22" i="19"/>
  <c r="F22" i="19"/>
  <c r="H22" i="19" s="1"/>
  <c r="J22" i="19" s="1"/>
  <c r="G28" i="19"/>
  <c r="F28" i="19"/>
  <c r="H28" i="19" s="1"/>
  <c r="J28" i="19" s="1"/>
  <c r="G42" i="19"/>
  <c r="F42" i="19"/>
  <c r="H42" i="19" s="1"/>
  <c r="J42" i="19" s="1"/>
  <c r="G12" i="19"/>
  <c r="F12" i="19"/>
  <c r="G13" i="19"/>
  <c r="F13" i="19"/>
  <c r="H13" i="19" s="1"/>
  <c r="J13" i="19" s="1"/>
  <c r="B44" i="5"/>
  <c r="L23" i="4" s="1"/>
  <c r="L27" i="4"/>
  <c r="B25" i="5"/>
  <c r="L14" i="4" s="1"/>
  <c r="B18" i="5"/>
  <c r="L15" i="4" s="1"/>
  <c r="F29" i="20"/>
  <c r="G6" i="6"/>
  <c r="H6" i="6" s="1"/>
  <c r="G26" i="6"/>
  <c r="H26" i="6" s="1"/>
  <c r="G13" i="6"/>
  <c r="H13" i="6" s="1"/>
  <c r="H12" i="19" l="1"/>
  <c r="J12" i="19" s="1"/>
  <c r="K447" i="3"/>
  <c r="G18" i="19" l="1"/>
  <c r="M447" i="3" l="1"/>
  <c r="K43" i="4" l="1"/>
  <c r="K4" i="4"/>
  <c r="K20" i="4"/>
  <c r="K13" i="4"/>
  <c r="K6" i="4"/>
  <c r="K12" i="4"/>
  <c r="K25" i="4"/>
  <c r="K24" i="4"/>
  <c r="K28" i="4"/>
  <c r="K34" i="4"/>
  <c r="G31" i="4" l="1"/>
  <c r="F31" i="4"/>
  <c r="G2" i="4"/>
  <c r="F2" i="4"/>
  <c r="G16" i="4"/>
  <c r="F16" i="4"/>
  <c r="F43" i="4"/>
  <c r="G4" i="4"/>
  <c r="F4" i="4"/>
  <c r="G20" i="4"/>
  <c r="F20" i="4"/>
  <c r="G13" i="4"/>
  <c r="F13" i="4"/>
  <c r="G6" i="4"/>
  <c r="F6" i="4"/>
  <c r="G12" i="4"/>
  <c r="F12" i="4"/>
  <c r="G25" i="4"/>
  <c r="F25" i="4"/>
  <c r="G24" i="4"/>
  <c r="F24" i="4"/>
  <c r="G28" i="4"/>
  <c r="F28" i="4"/>
  <c r="G22" i="4"/>
  <c r="F22" i="4"/>
  <c r="G3" i="4"/>
  <c r="F3" i="4"/>
  <c r="G32" i="4"/>
  <c r="F32" i="4"/>
  <c r="G9" i="4"/>
  <c r="F9" i="4"/>
  <c r="G33" i="4"/>
  <c r="F33" i="4"/>
  <c r="G19" i="4"/>
  <c r="F19" i="4"/>
  <c r="G7" i="4"/>
  <c r="F7" i="4"/>
  <c r="G11" i="4"/>
  <c r="F11" i="4"/>
  <c r="G36" i="4"/>
  <c r="F36" i="4"/>
  <c r="G17" i="4"/>
  <c r="F17" i="4"/>
  <c r="G18" i="4"/>
  <c r="F18" i="4"/>
  <c r="G8" i="4"/>
  <c r="F8" i="4"/>
  <c r="F26" i="19"/>
  <c r="G26" i="19"/>
  <c r="G2" i="19"/>
  <c r="F2" i="19"/>
  <c r="H2" i="19" s="1"/>
  <c r="J2" i="19" s="1"/>
  <c r="G16" i="19"/>
  <c r="F16" i="19"/>
  <c r="H16" i="19" s="1"/>
  <c r="J16" i="19" s="1"/>
  <c r="G41" i="19"/>
  <c r="F41" i="19"/>
  <c r="H41" i="19" s="1"/>
  <c r="J41" i="19" s="1"/>
  <c r="G6" i="19"/>
  <c r="F6" i="19"/>
  <c r="H6" i="19" s="1"/>
  <c r="J6" i="19" s="1"/>
  <c r="G19" i="19"/>
  <c r="F19" i="19"/>
  <c r="H19" i="19" s="1"/>
  <c r="J19" i="19" s="1"/>
  <c r="G11" i="19"/>
  <c r="F11" i="19"/>
  <c r="H11" i="19" s="1"/>
  <c r="J11" i="19" s="1"/>
  <c r="G7" i="19"/>
  <c r="F7" i="19"/>
  <c r="H7" i="19" s="1"/>
  <c r="J7" i="19" s="1"/>
  <c r="G15" i="19"/>
  <c r="F15" i="19"/>
  <c r="H15" i="19" s="1"/>
  <c r="J15" i="19" s="1"/>
  <c r="G25" i="19"/>
  <c r="F25" i="19"/>
  <c r="H25" i="19" s="1"/>
  <c r="J25" i="19" s="1"/>
  <c r="G20" i="19"/>
  <c r="F20" i="19"/>
  <c r="H20" i="19" s="1"/>
  <c r="J20" i="19" s="1"/>
  <c r="G21" i="19"/>
  <c r="F21" i="19"/>
  <c r="H21" i="19" s="1"/>
  <c r="J21" i="19" s="1"/>
  <c r="G23" i="19"/>
  <c r="F23" i="19"/>
  <c r="H23" i="19" s="1"/>
  <c r="J23" i="19" s="1"/>
  <c r="G3" i="19"/>
  <c r="F3" i="19"/>
  <c r="H3" i="19" s="1"/>
  <c r="J3" i="19" s="1"/>
  <c r="G31" i="19"/>
  <c r="F31" i="19"/>
  <c r="H31" i="19" s="1"/>
  <c r="J31" i="19" s="1"/>
  <c r="G5" i="19"/>
  <c r="F5" i="19"/>
  <c r="H5" i="19" s="1"/>
  <c r="J5" i="19" s="1"/>
  <c r="G32" i="19"/>
  <c r="F32" i="19"/>
  <c r="H32" i="19" s="1"/>
  <c r="J32" i="19" s="1"/>
  <c r="G17" i="19"/>
  <c r="F17" i="19"/>
  <c r="H17" i="19" s="1"/>
  <c r="J17" i="19" s="1"/>
  <c r="G8" i="19"/>
  <c r="F8" i="19"/>
  <c r="H8" i="19" s="1"/>
  <c r="J8" i="19" s="1"/>
  <c r="G9" i="19"/>
  <c r="F9" i="19"/>
  <c r="H9" i="19" s="1"/>
  <c r="J9" i="19" s="1"/>
  <c r="G34" i="19"/>
  <c r="F34" i="19"/>
  <c r="H34" i="19" s="1"/>
  <c r="J34" i="19" s="1"/>
  <c r="G14" i="19"/>
  <c r="F14" i="19"/>
  <c r="H14" i="19" s="1"/>
  <c r="J14" i="19" s="1"/>
  <c r="F18" i="19"/>
  <c r="H18" i="19" s="1"/>
  <c r="J18" i="19" s="1"/>
  <c r="G38" i="19"/>
  <c r="F38" i="19"/>
  <c r="H38" i="19" s="1"/>
  <c r="J38" i="19" s="1"/>
  <c r="F27" i="20"/>
  <c r="H27" i="20" s="1"/>
  <c r="J27" i="20" s="1"/>
  <c r="F3" i="20"/>
  <c r="H3" i="20" s="1"/>
  <c r="J3" i="20" s="1"/>
  <c r="F13" i="20"/>
  <c r="H13" i="20" s="1"/>
  <c r="J13" i="20" s="1"/>
  <c r="H29" i="20"/>
  <c r="J29" i="20" s="1"/>
  <c r="F41" i="20"/>
  <c r="H41" i="20" s="1"/>
  <c r="J41" i="20" s="1"/>
  <c r="F4" i="20"/>
  <c r="H4" i="20" s="1"/>
  <c r="J4" i="20" s="1"/>
  <c r="F40" i="20"/>
  <c r="H40" i="20" s="1"/>
  <c r="J40" i="20" s="1"/>
  <c r="F39" i="20"/>
  <c r="H39" i="20" s="1"/>
  <c r="J39" i="20" s="1"/>
  <c r="F5" i="20"/>
  <c r="H5" i="20" s="1"/>
  <c r="J5" i="20" s="1"/>
  <c r="F7" i="20"/>
  <c r="H7" i="20" s="1"/>
  <c r="J7" i="20" s="1"/>
  <c r="F22" i="20"/>
  <c r="H22" i="20" s="1"/>
  <c r="J22" i="20" s="1"/>
  <c r="F23" i="20"/>
  <c r="H23" i="20" s="1"/>
  <c r="J23" i="20" s="1"/>
  <c r="F26" i="20"/>
  <c r="H26" i="20" s="1"/>
  <c r="J26" i="20" s="1"/>
  <c r="F19" i="20"/>
  <c r="H19" i="20" s="1"/>
  <c r="J19" i="20" s="1"/>
  <c r="F2" i="20"/>
  <c r="H2" i="20" s="1"/>
  <c r="J2" i="20" s="1"/>
  <c r="F37" i="20"/>
  <c r="H37" i="20" s="1"/>
  <c r="J37" i="20" s="1"/>
  <c r="F17" i="20"/>
  <c r="H17" i="20" s="1"/>
  <c r="J17" i="20" s="1"/>
  <c r="F18" i="20"/>
  <c r="H18" i="20" s="1"/>
  <c r="J18" i="20" s="1"/>
  <c r="F10" i="20"/>
  <c r="H10" i="20" s="1"/>
  <c r="J10" i="20" s="1"/>
  <c r="F8" i="20"/>
  <c r="H8" i="20" s="1"/>
  <c r="J8" i="20" s="1"/>
  <c r="F28" i="20"/>
  <c r="H28" i="20" s="1"/>
  <c r="J28" i="20" s="1"/>
  <c r="F20" i="20"/>
  <c r="H20" i="20" s="1"/>
  <c r="J20" i="20" s="1"/>
  <c r="F12" i="20"/>
  <c r="H12" i="20" s="1"/>
  <c r="J12" i="20" s="1"/>
  <c r="F11" i="20"/>
  <c r="H11" i="20" s="1"/>
  <c r="J11" i="20" s="1"/>
  <c r="K3" i="4"/>
  <c r="H26" i="19" l="1"/>
  <c r="J26" i="19" s="1"/>
  <c r="G17" i="6"/>
  <c r="H17" i="6" s="1"/>
  <c r="G3" i="6" l="1"/>
  <c r="H3" i="6" s="1"/>
  <c r="G34" i="6"/>
  <c r="H34" i="6" s="1"/>
  <c r="G29" i="6"/>
  <c r="H29" i="6" s="1"/>
  <c r="H34" i="4"/>
  <c r="J34" i="4" s="1"/>
  <c r="H3" i="4"/>
  <c r="J3" i="4" s="1"/>
  <c r="B33" i="5"/>
  <c r="L34" i="4" s="1"/>
  <c r="B17" i="5"/>
  <c r="L3" i="4" s="1"/>
  <c r="K8" i="4" l="1"/>
  <c r="H8" i="4"/>
  <c r="J8" i="4"/>
  <c r="G22" i="6"/>
  <c r="H22" i="6" s="1"/>
  <c r="B2" i="5"/>
  <c r="L8" i="4" s="1"/>
  <c r="K2" i="4" l="1"/>
  <c r="K31" i="4"/>
  <c r="K16" i="4"/>
  <c r="K22" i="4"/>
  <c r="K32" i="4"/>
  <c r="K9" i="4"/>
  <c r="K33" i="4"/>
  <c r="K19" i="4"/>
  <c r="K7" i="4"/>
  <c r="G31" i="6"/>
  <c r="H31" i="6" s="1"/>
  <c r="H31" i="4"/>
  <c r="J31" i="4" s="1"/>
  <c r="B46" i="5"/>
  <c r="L31" i="4" s="1"/>
  <c r="H12" i="4" l="1"/>
  <c r="J12" i="4" s="1"/>
  <c r="B26" i="5"/>
  <c r="L12" i="4" s="1"/>
  <c r="G11" i="6"/>
  <c r="H11" i="6"/>
  <c r="G14" i="6"/>
  <c r="H14" i="6" s="1"/>
  <c r="BN47" i="5" l="1"/>
  <c r="B20" i="5"/>
  <c r="L28" i="4" s="1"/>
  <c r="H28" i="4"/>
  <c r="G8" i="6"/>
  <c r="H8" i="6" s="1"/>
  <c r="B42" i="5"/>
  <c r="L16" i="4" s="1"/>
  <c r="H16" i="4"/>
  <c r="J16" i="4" l="1"/>
  <c r="J28" i="4"/>
  <c r="W47" i="5" l="1"/>
  <c r="K36" i="4" l="1"/>
  <c r="B6" i="5"/>
  <c r="L36" i="4" s="1"/>
  <c r="G19" i="6"/>
  <c r="H19" i="6" s="1"/>
  <c r="D47" i="5"/>
  <c r="E47" i="5"/>
  <c r="F47" i="5"/>
  <c r="G47" i="5"/>
  <c r="H47" i="5"/>
  <c r="I47" i="5"/>
  <c r="J47" i="5"/>
  <c r="K47" i="5"/>
  <c r="L47" i="5"/>
  <c r="M47" i="5"/>
  <c r="N47" i="5"/>
  <c r="O47" i="5"/>
  <c r="P47" i="5"/>
  <c r="R47" i="5"/>
  <c r="S47" i="5"/>
  <c r="T47" i="5"/>
  <c r="U47" i="5"/>
  <c r="V47" i="5"/>
  <c r="X47" i="5"/>
  <c r="Y47" i="5"/>
  <c r="Z47" i="5"/>
  <c r="AA47" i="5"/>
  <c r="AC47" i="5"/>
  <c r="AD47" i="5"/>
  <c r="AE47" i="5"/>
  <c r="AF47" i="5"/>
  <c r="AG47" i="5"/>
  <c r="AH47" i="5"/>
  <c r="AI47" i="5"/>
  <c r="AJ47" i="5"/>
  <c r="AK47" i="5"/>
  <c r="AL47" i="5"/>
  <c r="AM47" i="5"/>
  <c r="AN47" i="5"/>
  <c r="AO47" i="5"/>
  <c r="AP47" i="5"/>
  <c r="AQ47" i="5"/>
  <c r="AR47" i="5"/>
  <c r="AS47" i="5"/>
  <c r="AT47" i="5"/>
  <c r="AU47" i="5"/>
  <c r="AV47" i="5"/>
  <c r="AW47" i="5"/>
  <c r="AX47" i="5"/>
  <c r="AZ47" i="5"/>
  <c r="BA47" i="5"/>
  <c r="BB47" i="5"/>
  <c r="BC47" i="5"/>
  <c r="BD47" i="5"/>
  <c r="BE47" i="5"/>
  <c r="BF47" i="5"/>
  <c r="BG47" i="5"/>
  <c r="BH47" i="5"/>
  <c r="BI47" i="5"/>
  <c r="BJ47" i="5"/>
  <c r="BK47" i="5"/>
  <c r="BL47" i="5"/>
  <c r="BM47" i="5"/>
  <c r="C47" i="5"/>
  <c r="B19" i="5"/>
  <c r="L22" i="4" s="1"/>
  <c r="BO47" i="5" l="1"/>
  <c r="H36" i="4"/>
  <c r="H22" i="4"/>
  <c r="J36" i="4" l="1"/>
  <c r="J22" i="4"/>
  <c r="K11" i="4" l="1"/>
  <c r="P445" i="3" l="1"/>
  <c r="P447" i="3" s="1"/>
  <c r="O445" i="3"/>
  <c r="O447" i="3" s="1"/>
  <c r="N445" i="3"/>
  <c r="N447" i="3" s="1"/>
  <c r="Q447" i="3" s="1"/>
  <c r="L445" i="3"/>
  <c r="M445" i="3" s="1"/>
  <c r="Q445" i="3" l="1"/>
  <c r="Q449" i="3" s="1"/>
  <c r="M449" i="3"/>
  <c r="B3" i="5" l="1"/>
  <c r="B4" i="5"/>
  <c r="B7" i="5"/>
  <c r="K17" i="4" l="1"/>
  <c r="K18" i="4"/>
  <c r="B24" i="5"/>
  <c r="L25" i="4" s="1"/>
  <c r="B27" i="5"/>
  <c r="L6" i="4" s="1"/>
  <c r="B28" i="5"/>
  <c r="L13" i="4" s="1"/>
  <c r="B30" i="5"/>
  <c r="L20" i="4" s="1"/>
  <c r="B31" i="5"/>
  <c r="L4" i="4" s="1"/>
  <c r="B32" i="5"/>
  <c r="L43" i="4" s="1"/>
  <c r="B43" i="5"/>
  <c r="L2" i="4" s="1"/>
  <c r="G24" i="6" l="1"/>
  <c r="H24" i="6" s="1"/>
  <c r="G27" i="6"/>
  <c r="H27" i="6" s="1"/>
  <c r="G7" i="6"/>
  <c r="H7" i="6" s="1"/>
  <c r="G42" i="6"/>
  <c r="G28" i="6"/>
  <c r="G5" i="6"/>
  <c r="H5" i="6" s="1"/>
  <c r="G20" i="6"/>
  <c r="H20" i="6" s="1"/>
  <c r="G2" i="6"/>
  <c r="H2" i="6" s="1"/>
  <c r="H42" i="6" l="1"/>
  <c r="H28" i="6"/>
  <c r="H24" i="4"/>
  <c r="H6" i="4"/>
  <c r="H43" i="4"/>
  <c r="J43" i="4" s="1"/>
  <c r="H13" i="4"/>
  <c r="H32" i="4"/>
  <c r="H17" i="4"/>
  <c r="H33" i="4"/>
  <c r="J33" i="4" s="1"/>
  <c r="H20" i="4"/>
  <c r="H25" i="4"/>
  <c r="H9" i="4"/>
  <c r="G18" i="6"/>
  <c r="H18" i="6" s="1"/>
  <c r="G15" i="6"/>
  <c r="H15" i="6" s="1"/>
  <c r="G23" i="6"/>
  <c r="H23" i="6" s="1"/>
  <c r="G12" i="6"/>
  <c r="H12" i="6" s="1"/>
  <c r="G16" i="6"/>
  <c r="H16" i="6" s="1"/>
  <c r="G10" i="6"/>
  <c r="H10" i="6" s="1"/>
  <c r="L11" i="4"/>
  <c r="L18" i="4"/>
  <c r="L17" i="4"/>
  <c r="B8" i="5"/>
  <c r="L7" i="4" s="1"/>
  <c r="B9" i="5"/>
  <c r="L19" i="4" s="1"/>
  <c r="B10" i="5"/>
  <c r="L33" i="4" s="1"/>
  <c r="B13" i="5"/>
  <c r="L9" i="4" s="1"/>
  <c r="B14" i="5"/>
  <c r="L32" i="4" s="1"/>
  <c r="B21" i="5"/>
  <c r="L24" i="4" s="1"/>
  <c r="J13" i="4" l="1"/>
  <c r="J20" i="4"/>
  <c r="J24" i="4"/>
  <c r="J25" i="4"/>
  <c r="J6" i="4"/>
  <c r="J17" i="4"/>
  <c r="H2" i="4"/>
  <c r="H7" i="4"/>
  <c r="H11" i="4"/>
  <c r="H4" i="4"/>
  <c r="H18" i="4"/>
  <c r="H19" i="4"/>
  <c r="J19" i="4" l="1"/>
  <c r="J11" i="4"/>
  <c r="J2" i="4"/>
  <c r="J18" i="4"/>
  <c r="J32" i="4"/>
  <c r="J9" i="4"/>
  <c r="J4" i="4"/>
  <c r="J7" i="4"/>
</calcChain>
</file>

<file path=xl/sharedStrings.xml><?xml version="1.0" encoding="utf-8"?>
<sst xmlns="http://schemas.openxmlformats.org/spreadsheetml/2006/main" count="2774" uniqueCount="720">
  <si>
    <t>Date</t>
  </si>
  <si>
    <t>Rambouillet</t>
  </si>
  <si>
    <t>Bourges</t>
  </si>
  <si>
    <t>Auxerre</t>
  </si>
  <si>
    <t>Troyes</t>
  </si>
  <si>
    <t>Boussy</t>
  </si>
  <si>
    <t>Barjouville</t>
  </si>
  <si>
    <t>Joinville</t>
  </si>
  <si>
    <t>Le Havre</t>
  </si>
  <si>
    <t>Bandol</t>
  </si>
  <si>
    <t>Thiais</t>
  </si>
  <si>
    <t>Limoges</t>
  </si>
  <si>
    <t>Vannes</t>
  </si>
  <si>
    <t>Mérignac</t>
  </si>
  <si>
    <t>Chartres</t>
  </si>
  <si>
    <t>F</t>
  </si>
  <si>
    <t>Dijon Eurobowling</t>
  </si>
  <si>
    <t>Wittelsheim</t>
  </si>
  <si>
    <t>Honfleur</t>
  </si>
  <si>
    <t>La Rochelle</t>
  </si>
  <si>
    <t>Valenciennes</t>
  </si>
  <si>
    <t>SCRATCH</t>
  </si>
  <si>
    <t>TTMP</t>
  </si>
  <si>
    <t>Catégorie</t>
  </si>
  <si>
    <t>Handicap</t>
  </si>
  <si>
    <t>Lieu</t>
  </si>
  <si>
    <t>Formule</t>
  </si>
  <si>
    <t>Nom / Prénom</t>
  </si>
  <si>
    <t>Score</t>
  </si>
  <si>
    <t>Lignes</t>
  </si>
  <si>
    <t>Moyenne</t>
  </si>
  <si>
    <t>Résultat</t>
  </si>
  <si>
    <t>La Chapelle</t>
  </si>
  <si>
    <t>Dammarie les Lys</t>
  </si>
  <si>
    <t>La Matène</t>
  </si>
  <si>
    <t>Reims Thillois</t>
  </si>
  <si>
    <t>Sexe</t>
  </si>
  <si>
    <t>Total quilles</t>
  </si>
  <si>
    <t>Nbre de parties</t>
  </si>
  <si>
    <t>MOYENNE</t>
  </si>
  <si>
    <t>Nbre  de Compétitions</t>
  </si>
  <si>
    <t>Nbre de bowling fréquentés</t>
  </si>
  <si>
    <t>M</t>
  </si>
  <si>
    <t>Amiens</t>
  </si>
  <si>
    <t>Courbevoie</t>
  </si>
  <si>
    <t>Dijon Marsannay</t>
  </si>
  <si>
    <t>Epinay</t>
  </si>
  <si>
    <t xml:space="preserve">Front de Seine </t>
  </si>
  <si>
    <t>Grand Quevilly</t>
  </si>
  <si>
    <t>Lomme</t>
  </si>
  <si>
    <t>Nancy</t>
  </si>
  <si>
    <t>Nantes St Séb.</t>
  </si>
  <si>
    <t>Nantes St. Herblain</t>
  </si>
  <si>
    <t>Nimes</t>
  </si>
  <si>
    <t>Orgeval</t>
  </si>
  <si>
    <t>Ozoir</t>
  </si>
  <si>
    <t>Quimper</t>
  </si>
  <si>
    <t>Reims Tinqueux</t>
  </si>
  <si>
    <t>Saran</t>
  </si>
  <si>
    <t>Strasbrg</t>
  </si>
  <si>
    <t>St. Nazaire</t>
  </si>
  <si>
    <t>Tours</t>
  </si>
  <si>
    <t>Villeneuve d'Ascq</t>
  </si>
  <si>
    <t>N° Licence</t>
  </si>
  <si>
    <t>Creil - St Maximin</t>
  </si>
  <si>
    <t>Notre Dame de Gravenchon</t>
  </si>
  <si>
    <t>Chalon en Champagne</t>
  </si>
  <si>
    <t>Taden</t>
  </si>
  <si>
    <t>SUR UNE JOURNEE</t>
  </si>
  <si>
    <t>FORMATION</t>
  </si>
  <si>
    <t>INTER</t>
  </si>
  <si>
    <t>CATEGORIE</t>
  </si>
  <si>
    <t>SPORT D'ENTREPRISE</t>
  </si>
  <si>
    <t>QUALIFICATION</t>
  </si>
  <si>
    <t>FINALE</t>
  </si>
  <si>
    <t>OSNABRUCK (Allemagne)</t>
  </si>
  <si>
    <t>Moulins</t>
  </si>
  <si>
    <t>Ballainvilliers</t>
  </si>
  <si>
    <t>X</t>
  </si>
  <si>
    <t>ORLEANS</t>
  </si>
  <si>
    <t>V</t>
  </si>
  <si>
    <t>3M</t>
  </si>
  <si>
    <t>J</t>
  </si>
  <si>
    <t>LIMOGES</t>
  </si>
  <si>
    <t>CAISSARGUES</t>
  </si>
  <si>
    <t>BAYEUX</t>
  </si>
  <si>
    <t>VIRE</t>
  </si>
  <si>
    <t>2M</t>
  </si>
  <si>
    <t>FONTAINE LE COMTE</t>
  </si>
  <si>
    <t>LA ROCHELLE</t>
  </si>
  <si>
    <t>CHAURAY</t>
  </si>
  <si>
    <t>Toulouse Montaudran</t>
  </si>
  <si>
    <t>Bayeux</t>
  </si>
  <si>
    <t>Toulouse Coulomier</t>
  </si>
  <si>
    <t>Belfort</t>
  </si>
  <si>
    <t>VIERZON</t>
  </si>
  <si>
    <t>MESCHERS</t>
  </si>
  <si>
    <t>Moussy le Neuf</t>
  </si>
  <si>
    <t>Fontaine le comte (Poitiers)</t>
  </si>
  <si>
    <t>Orleans Olivet</t>
  </si>
  <si>
    <t>Handicap listing</t>
  </si>
  <si>
    <t>MOYENNE Corrigée</t>
  </si>
  <si>
    <t>1 sc</t>
  </si>
  <si>
    <t>DORLISHEIM</t>
  </si>
  <si>
    <t>THIAIS</t>
  </si>
  <si>
    <t>DRAGUIGNAN</t>
  </si>
  <si>
    <t>2 sc</t>
  </si>
  <si>
    <r>
      <t>1</t>
    </r>
    <r>
      <rPr>
        <b/>
        <vertAlign val="superscript"/>
        <sz val="10"/>
        <rFont val="Arial"/>
        <family val="2"/>
      </rPr>
      <t>ere</t>
    </r>
    <r>
      <rPr>
        <b/>
        <sz val="10"/>
        <rFont val="Arial"/>
        <family val="2"/>
      </rPr>
      <t xml:space="preserve"> journée</t>
    </r>
  </si>
  <si>
    <t>5 sc</t>
  </si>
  <si>
    <t>Clermont-Ferrand</t>
  </si>
  <si>
    <r>
      <t>2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</rPr>
      <t xml:space="preserve"> journée</t>
    </r>
  </si>
  <si>
    <t>Chambéry</t>
  </si>
  <si>
    <t>SAINT NAZAIRE</t>
  </si>
  <si>
    <t>Poitier</t>
  </si>
  <si>
    <r>
      <t>DELORT</t>
    </r>
    <r>
      <rPr>
        <sz val="10"/>
        <rFont val="Arial"/>
        <family val="2"/>
      </rPr>
      <t xml:space="preserve"> Philippe</t>
    </r>
  </si>
  <si>
    <t>CHAMPIONNATS des CLUBS</t>
  </si>
  <si>
    <t>Chauray</t>
  </si>
  <si>
    <r>
      <t xml:space="preserve">DELORT </t>
    </r>
    <r>
      <rPr>
        <sz val="10"/>
        <rFont val="Arial"/>
        <family val="2"/>
      </rPr>
      <t>Valérie</t>
    </r>
  </si>
  <si>
    <r>
      <t xml:space="preserve">BONNET </t>
    </r>
    <r>
      <rPr>
        <sz val="10"/>
        <rFont val="Arial"/>
        <family val="2"/>
      </rPr>
      <t>Jean Claude</t>
    </r>
  </si>
  <si>
    <r>
      <t>MARINA</t>
    </r>
    <r>
      <rPr>
        <sz val="10"/>
        <rFont val="Arial"/>
        <family val="2"/>
      </rPr>
      <t xml:space="preserve"> Daniel</t>
    </r>
  </si>
  <si>
    <r>
      <t>ROUCHON</t>
    </r>
    <r>
      <rPr>
        <sz val="10"/>
        <rFont val="Arial"/>
        <family val="2"/>
      </rPr>
      <t xml:space="preserve"> Xavier</t>
    </r>
  </si>
  <si>
    <r>
      <t>CROVATTO</t>
    </r>
    <r>
      <rPr>
        <sz val="10"/>
        <rFont val="Arial"/>
        <family val="2"/>
      </rPr>
      <t xml:space="preserve"> Philippe</t>
    </r>
  </si>
  <si>
    <r>
      <t>LE FILOUS</t>
    </r>
    <r>
      <rPr>
        <sz val="10"/>
        <rFont val="Arial"/>
        <family val="2"/>
      </rPr>
      <t xml:space="preserve"> Damien</t>
    </r>
  </si>
  <si>
    <r>
      <t>ESNAULT</t>
    </r>
    <r>
      <rPr>
        <sz val="10"/>
        <rFont val="Arial"/>
        <family val="2"/>
      </rPr>
      <t xml:space="preserve"> Michèle</t>
    </r>
  </si>
  <si>
    <r>
      <t>BOUZOU</t>
    </r>
    <r>
      <rPr>
        <sz val="10"/>
        <rFont val="Arial"/>
        <family val="2"/>
      </rPr>
      <t xml:space="preserve"> Francis</t>
    </r>
  </si>
  <si>
    <r>
      <t>HERVAULT</t>
    </r>
    <r>
      <rPr>
        <sz val="10"/>
        <rFont val="Arial"/>
        <family val="2"/>
      </rPr>
      <t xml:space="preserve"> Daniel</t>
    </r>
  </si>
  <si>
    <r>
      <t>ESNAULT</t>
    </r>
    <r>
      <rPr>
        <sz val="10"/>
        <rFont val="Arial"/>
        <family val="2"/>
      </rPr>
      <t xml:space="preserve"> Eric</t>
    </r>
  </si>
  <si>
    <t>JU</t>
  </si>
  <si>
    <r>
      <t>DURON</t>
    </r>
    <r>
      <rPr>
        <sz val="10"/>
        <rFont val="Arial"/>
        <family val="2"/>
      </rPr>
      <t xml:space="preserve"> Eric</t>
    </r>
  </si>
  <si>
    <r>
      <t>GOUTTORBE</t>
    </r>
    <r>
      <rPr>
        <sz val="10"/>
        <rFont val="Arial"/>
        <family val="2"/>
      </rPr>
      <t xml:space="preserve"> Yveline</t>
    </r>
  </si>
  <si>
    <r>
      <t>JOUEN</t>
    </r>
    <r>
      <rPr>
        <sz val="10"/>
        <rFont val="Arial"/>
        <family val="2"/>
      </rPr>
      <t xml:space="preserve"> Frédéric</t>
    </r>
  </si>
  <si>
    <r>
      <t>JOURNIAC</t>
    </r>
    <r>
      <rPr>
        <sz val="10"/>
        <rFont val="Arial"/>
        <family val="2"/>
      </rPr>
      <t xml:space="preserve"> Christian</t>
    </r>
  </si>
  <si>
    <r>
      <t>LE FILOUS</t>
    </r>
    <r>
      <rPr>
        <sz val="10"/>
        <rFont val="Arial"/>
        <family val="2"/>
      </rPr>
      <t xml:space="preserve"> Claude</t>
    </r>
  </si>
  <si>
    <r>
      <t>LE FILOUS</t>
    </r>
    <r>
      <rPr>
        <sz val="10"/>
        <rFont val="Arial"/>
        <family val="2"/>
      </rPr>
      <t xml:space="preserve"> Julie</t>
    </r>
  </si>
  <si>
    <r>
      <t>BC PLAISIR</t>
    </r>
    <r>
      <rPr>
        <b/>
        <i/>
        <sz val="10"/>
        <rFont val="Arial"/>
        <family val="2"/>
      </rPr>
      <t xml:space="preserve">                         NOM Prénom</t>
    </r>
  </si>
  <si>
    <t>Phase District</t>
  </si>
  <si>
    <t>3 sc</t>
  </si>
  <si>
    <t>Jour semaine Dimanche = 7</t>
  </si>
  <si>
    <t>Zone A</t>
  </si>
  <si>
    <t>Zone B</t>
  </si>
  <si>
    <t>Zone C</t>
  </si>
  <si>
    <t>SCRATCH-HANDICAP</t>
  </si>
  <si>
    <t>REENTREE</t>
  </si>
  <si>
    <t>COMPET  FEDERALE</t>
  </si>
  <si>
    <t>ORGANISATEUR</t>
  </si>
  <si>
    <t>ARA</t>
  </si>
  <si>
    <t>CVL</t>
  </si>
  <si>
    <t>GRE</t>
  </si>
  <si>
    <t>NOR</t>
  </si>
  <si>
    <t>IDF</t>
  </si>
  <si>
    <t>OCC</t>
  </si>
  <si>
    <t>PDL</t>
  </si>
  <si>
    <t>BRE</t>
  </si>
  <si>
    <t>CHALLANS</t>
  </si>
  <si>
    <t>COGNAC</t>
  </si>
  <si>
    <t>HDF</t>
  </si>
  <si>
    <t>Ligue du lundi - RAMBOUILLET</t>
  </si>
  <si>
    <t>Période 1</t>
  </si>
  <si>
    <r>
      <t>BC PLAISIR</t>
    </r>
    <r>
      <rPr>
        <b/>
        <i/>
        <sz val="10"/>
        <rFont val="Arial"/>
        <family val="2"/>
      </rPr>
      <t xml:space="preserve">                         Listing Fédéral                  </t>
    </r>
  </si>
  <si>
    <t>Dames</t>
  </si>
  <si>
    <t>Hommes</t>
  </si>
  <si>
    <t>Jeunes</t>
  </si>
  <si>
    <t>OR</t>
  </si>
  <si>
    <t>ARGENT</t>
  </si>
  <si>
    <t>BRONZE</t>
  </si>
  <si>
    <t>MOYENNE scratch</t>
  </si>
  <si>
    <t>MOYENNE Handicap</t>
  </si>
  <si>
    <t>SC</t>
  </si>
  <si>
    <t>SB</t>
  </si>
  <si>
    <t>SA</t>
  </si>
  <si>
    <t xml:space="preserve">J, S+, F </t>
  </si>
  <si>
    <t>S+</t>
  </si>
  <si>
    <t>Ligue du mardi - HOUDAN</t>
  </si>
  <si>
    <t>Houdan</t>
  </si>
  <si>
    <r>
      <t>3</t>
    </r>
    <r>
      <rPr>
        <b/>
        <vertAlign val="superscript"/>
        <sz val="10"/>
        <rFont val="Arial"/>
        <family val="2"/>
      </rPr>
      <t>e</t>
    </r>
    <r>
      <rPr>
        <b/>
        <sz val="10"/>
        <rFont val="Arial"/>
        <family val="2"/>
      </rPr>
      <t xml:space="preserve"> journée</t>
    </r>
  </si>
  <si>
    <t xml:space="preserve">COMPETITIONS
</t>
  </si>
  <si>
    <t>Chpt Doublette Honneur - RAMBOUILLET</t>
  </si>
  <si>
    <t>Phase Dept 78</t>
  </si>
  <si>
    <r>
      <t>GARCIA</t>
    </r>
    <r>
      <rPr>
        <sz val="10"/>
        <rFont val="Arial"/>
        <family val="2"/>
      </rPr>
      <t xml:space="preserve"> Sabine</t>
    </r>
  </si>
  <si>
    <r>
      <t>CROVATTO</t>
    </r>
    <r>
      <rPr>
        <sz val="10"/>
        <rFont val="Arial"/>
        <family val="2"/>
      </rPr>
      <t xml:space="preserve"> Christine</t>
    </r>
  </si>
  <si>
    <t>Phase Région</t>
  </si>
  <si>
    <t>Chpt Indiv. SENIORS+ SC - MOUSSY le NEUF</t>
  </si>
  <si>
    <t>Chpt Indiv. SENIORS+ SB - MOUSSY le NEUF</t>
  </si>
  <si>
    <t>Chpt Indiv. SENIORS+ SA - MOUSSY le NEUF</t>
  </si>
  <si>
    <t>3 hp</t>
  </si>
  <si>
    <t>2 hp</t>
  </si>
  <si>
    <t>F/H</t>
  </si>
  <si>
    <t>Période 2</t>
  </si>
  <si>
    <t xml:space="preserve">8 parties </t>
  </si>
  <si>
    <t>Poussins</t>
  </si>
  <si>
    <t>Benjamins</t>
  </si>
  <si>
    <t>Minimes</t>
  </si>
  <si>
    <t>Cadets</t>
  </si>
  <si>
    <t xml:space="preserve">Juniors </t>
  </si>
  <si>
    <t xml:space="preserve">12 parties </t>
  </si>
  <si>
    <t xml:space="preserve">18 parties </t>
  </si>
  <si>
    <t xml:space="preserve">20 parties </t>
  </si>
  <si>
    <t xml:space="preserve">24 parties </t>
  </si>
  <si>
    <t>2 sc + bonus</t>
  </si>
  <si>
    <t>Période 3</t>
  </si>
  <si>
    <t>Phase Nationale</t>
  </si>
  <si>
    <t>Evreux</t>
  </si>
  <si>
    <t>Perf</t>
  </si>
  <si>
    <t>6 équipes</t>
  </si>
  <si>
    <t>Période 4</t>
  </si>
  <si>
    <t>HANDICAP - BONUS</t>
  </si>
  <si>
    <t>BALLAINVILLIERS</t>
  </si>
  <si>
    <t>NON</t>
  </si>
  <si>
    <t>MONT DORE</t>
  </si>
  <si>
    <t>2-1</t>
  </si>
  <si>
    <t>OUI</t>
  </si>
  <si>
    <t>JOURNEE des COMITES - J1</t>
  </si>
  <si>
    <t>DINAN</t>
  </si>
  <si>
    <t>JOURNEE des COMITES - J2</t>
  </si>
  <si>
    <t>4-3-2-1</t>
  </si>
  <si>
    <t>4-2</t>
  </si>
  <si>
    <t>MONTPELLIER</t>
  </si>
  <si>
    <r>
      <t xml:space="preserve">GATEAU </t>
    </r>
    <r>
      <rPr>
        <sz val="10"/>
        <rFont val="Arial"/>
        <family val="2"/>
      </rPr>
      <t>Emma</t>
    </r>
  </si>
  <si>
    <r>
      <t xml:space="preserve">GARCIA </t>
    </r>
    <r>
      <rPr>
        <sz val="10"/>
        <rFont val="Arial"/>
        <family val="2"/>
      </rPr>
      <t>Sabine</t>
    </r>
  </si>
  <si>
    <r>
      <t xml:space="preserve">RITHIE </t>
    </r>
    <r>
      <rPr>
        <sz val="10"/>
        <rFont val="Arial"/>
        <family val="2"/>
      </rPr>
      <t>Régis</t>
    </r>
  </si>
  <si>
    <t>Chpt SE Doublette Mixte - THIAIS</t>
  </si>
  <si>
    <t>SE</t>
  </si>
  <si>
    <t>Chpt des Clubs Dames R1</t>
  </si>
  <si>
    <r>
      <t xml:space="preserve">JOUBERT </t>
    </r>
    <r>
      <rPr>
        <sz val="10"/>
        <rFont val="Arial"/>
        <family val="2"/>
      </rPr>
      <t>Joel</t>
    </r>
  </si>
  <si>
    <r>
      <t>TERRIEN</t>
    </r>
    <r>
      <rPr>
        <sz val="10"/>
        <color theme="3"/>
        <rFont val="Arial"/>
        <family val="2"/>
      </rPr>
      <t xml:space="preserve"> Yanis</t>
    </r>
  </si>
  <si>
    <t>MI</t>
  </si>
  <si>
    <r>
      <t xml:space="preserve">BELOT </t>
    </r>
    <r>
      <rPr>
        <sz val="10"/>
        <color theme="3"/>
        <rFont val="Arial"/>
        <family val="2"/>
      </rPr>
      <t>Léopold</t>
    </r>
  </si>
  <si>
    <t>Dim</t>
  </si>
  <si>
    <t>Sam</t>
  </si>
  <si>
    <t>Nombre de  bowling différents joués en tournoi</t>
  </si>
  <si>
    <r>
      <t xml:space="preserve">FAVREAU </t>
    </r>
    <r>
      <rPr>
        <sz val="10"/>
        <color theme="3"/>
        <rFont val="Arial"/>
        <family val="2"/>
      </rPr>
      <t>Gael</t>
    </r>
  </si>
  <si>
    <r>
      <t xml:space="preserve">GE </t>
    </r>
    <r>
      <rPr>
        <sz val="10"/>
        <color theme="3"/>
        <rFont val="Arial"/>
        <family val="2"/>
      </rPr>
      <t>Kelio</t>
    </r>
  </si>
  <si>
    <r>
      <t xml:space="preserve">ZIMMERMANN </t>
    </r>
    <r>
      <rPr>
        <sz val="10"/>
        <rFont val="Arial"/>
        <family val="2"/>
      </rPr>
      <t>Thibaut</t>
    </r>
  </si>
  <si>
    <t>Ligue du mercredi - HOUDAN</t>
  </si>
  <si>
    <t>Ligue CORPO du mardi - THIAIS</t>
  </si>
  <si>
    <t>Ligue FEDE du mardi - THIAIS</t>
  </si>
  <si>
    <r>
      <t xml:space="preserve">Période 1 - </t>
    </r>
    <r>
      <rPr>
        <sz val="10"/>
        <rFont val="Arial"/>
        <family val="2"/>
      </rPr>
      <t>6 équipes</t>
    </r>
  </si>
  <si>
    <r>
      <t xml:space="preserve">Période 2 - </t>
    </r>
    <r>
      <rPr>
        <sz val="10"/>
        <rFont val="Arial"/>
        <family val="2"/>
      </rPr>
      <t>6 équipes</t>
    </r>
  </si>
  <si>
    <r>
      <t xml:space="preserve">Période 2 - </t>
    </r>
    <r>
      <rPr>
        <sz val="10"/>
        <rFont val="Arial"/>
        <family val="2"/>
      </rPr>
      <t>14 équipes</t>
    </r>
  </si>
  <si>
    <r>
      <t xml:space="preserve">Période 3 - </t>
    </r>
    <r>
      <rPr>
        <sz val="10"/>
        <rFont val="Arial"/>
        <family val="2"/>
      </rPr>
      <t>6 équipes</t>
    </r>
  </si>
  <si>
    <t>BC MONT DORE</t>
  </si>
  <si>
    <t>GLADIATORES NEMAUSENSIS</t>
  </si>
  <si>
    <t>W</t>
  </si>
  <si>
    <t>CHALONS EN CHAMPAGNE</t>
  </si>
  <si>
    <t>BC TRICASTIN</t>
  </si>
  <si>
    <t>EAGLES BOWLING VIRE</t>
  </si>
  <si>
    <t>SAINT JULIEN LES METZ</t>
  </si>
  <si>
    <t>SLUC NANCY</t>
  </si>
  <si>
    <t>ECOLE DE BOWLING VIERZON</t>
  </si>
  <si>
    <t>BCS ANNECY</t>
  </si>
  <si>
    <t>UZES BC</t>
  </si>
  <si>
    <t>AGEN</t>
  </si>
  <si>
    <t>BUXEROLLES</t>
  </si>
  <si>
    <t>ADEB DRAGUIGNAN</t>
  </si>
  <si>
    <t>AUDINCOURT</t>
  </si>
  <si>
    <r>
      <t xml:space="preserve">LECOMTE </t>
    </r>
    <r>
      <rPr>
        <sz val="10"/>
        <color theme="3"/>
        <rFont val="Arial"/>
        <family val="2"/>
      </rPr>
      <t>Coline</t>
    </r>
  </si>
  <si>
    <t>Chpt Jeunes J1 - RAMBOUILLET</t>
  </si>
  <si>
    <t>Date                                 de                            MàJ</t>
  </si>
  <si>
    <t>CDC REGIONAL /J1</t>
  </si>
  <si>
    <t>CHPT DE FRANCE INDIVIDUEL SENIORS+ - Phase départementale</t>
  </si>
  <si>
    <t>CDC REGIONAL /J3</t>
  </si>
  <si>
    <r>
      <t xml:space="preserve">FAVREAU </t>
    </r>
    <r>
      <rPr>
        <sz val="10"/>
        <rFont val="Arial"/>
        <family val="2"/>
      </rPr>
      <t>Alexis</t>
    </r>
  </si>
  <si>
    <r>
      <t xml:space="preserve">HUCHET </t>
    </r>
    <r>
      <rPr>
        <sz val="10"/>
        <rFont val="Arial"/>
        <family val="2"/>
      </rPr>
      <t>Stéphane</t>
    </r>
  </si>
  <si>
    <r>
      <t xml:space="preserve">OLAGNIER </t>
    </r>
    <r>
      <rPr>
        <sz val="10"/>
        <rFont val="Arial"/>
        <family val="2"/>
      </rPr>
      <t>Gérard</t>
    </r>
  </si>
  <si>
    <t>T.S.M. - RAMBOUILLET</t>
  </si>
  <si>
    <t>1 hp</t>
  </si>
  <si>
    <t>T.D.M. - THIAIS</t>
  </si>
  <si>
    <r>
      <t xml:space="preserve">SOLARI </t>
    </r>
    <r>
      <rPr>
        <sz val="10"/>
        <rFont val="Arial"/>
        <family val="2"/>
      </rPr>
      <t>Joseph</t>
    </r>
  </si>
  <si>
    <r>
      <t xml:space="preserve">MARION </t>
    </r>
    <r>
      <rPr>
        <sz val="10"/>
        <rFont val="Arial"/>
        <family val="2"/>
      </rPr>
      <t>Christine</t>
    </r>
  </si>
  <si>
    <r>
      <t xml:space="preserve">FAYEMENDY </t>
    </r>
    <r>
      <rPr>
        <sz val="10"/>
        <rFont val="Arial"/>
        <family val="2"/>
      </rPr>
      <t>Michel</t>
    </r>
  </si>
  <si>
    <t>Chpt Jeunes J2 - BOUSSY St ANTOINE</t>
  </si>
  <si>
    <t>Chpt Jeunes J3 - BALLAINVILLIERS</t>
  </si>
  <si>
    <t>Challenge Double Mixte Honneur - BOUSSY St ANTOINE</t>
  </si>
  <si>
    <t>Chpt Indiv. SENIORS+ SC - RAMBOUILLET</t>
  </si>
  <si>
    <t>Chpt Indiv. SENIORS+ SB - RAMBOUILLET</t>
  </si>
  <si>
    <t>Chpt Indiv. SENIORS+ SA - RAMBOUILLET</t>
  </si>
  <si>
    <r>
      <t>DUVAL</t>
    </r>
    <r>
      <rPr>
        <sz val="10"/>
        <rFont val="Arial"/>
        <family val="2"/>
      </rPr>
      <t xml:space="preserve"> Franck</t>
    </r>
  </si>
  <si>
    <r>
      <t xml:space="preserve">DUVAL </t>
    </r>
    <r>
      <rPr>
        <sz val="10"/>
        <rFont val="Arial"/>
        <family val="2"/>
      </rPr>
      <t>Franck</t>
    </r>
  </si>
  <si>
    <t>Chpt des Clubs Hommes R2D</t>
  </si>
  <si>
    <t>Chpt des Clubs Hommes R2C</t>
  </si>
  <si>
    <t>poule de 8 équipes</t>
  </si>
  <si>
    <t>poule de 6 équipes</t>
  </si>
  <si>
    <t>2 hp/sc</t>
  </si>
  <si>
    <t>Coupe des Yvelines Triplette TTMP 510 avec 1 jeune</t>
  </si>
  <si>
    <t>3 TTMP</t>
  </si>
  <si>
    <t>3 Mhp</t>
  </si>
  <si>
    <t>Finale Chpt Jeunes - RAMBOUILLET</t>
  </si>
  <si>
    <t>5 benjamins H</t>
  </si>
  <si>
    <r>
      <t xml:space="preserve">CRUZ </t>
    </r>
    <r>
      <rPr>
        <sz val="10"/>
        <color theme="3"/>
        <rFont val="Arial"/>
        <family val="2"/>
      </rPr>
      <t>Mattis</t>
    </r>
  </si>
  <si>
    <t>Listing</t>
  </si>
  <si>
    <t>Triplette mixte du printemps hp 80% - HOUDAN</t>
  </si>
  <si>
    <t>Rappel moy Féd</t>
  </si>
  <si>
    <t>12 équipes</t>
  </si>
  <si>
    <t>Période 5</t>
  </si>
  <si>
    <t>Tournoi indiv et triplette - CHARTRES</t>
  </si>
  <si>
    <t>Round Robin BALLAINVILLIERS</t>
  </si>
  <si>
    <r>
      <t xml:space="preserve">FARGEIX </t>
    </r>
    <r>
      <rPr>
        <sz val="10"/>
        <rFont val="Arial"/>
        <family val="2"/>
      </rPr>
      <t>Christian</t>
    </r>
  </si>
  <si>
    <r>
      <t xml:space="preserve">FARGEIX </t>
    </r>
    <r>
      <rPr>
        <sz val="10"/>
        <rFont val="Arial"/>
        <family val="2"/>
      </rPr>
      <t>Florence</t>
    </r>
  </si>
  <si>
    <t>Centres                                                                         Compétitions Fédérales</t>
  </si>
  <si>
    <t>SCORPIONS BOWLING</t>
  </si>
  <si>
    <t>FIREBOWL ORLEANS</t>
  </si>
  <si>
    <t>NOGENT LE ROTROU</t>
  </si>
  <si>
    <t>AQUABOWL DU PERCHE</t>
  </si>
  <si>
    <t>BC AMICALE CAMARGUAISE</t>
  </si>
  <si>
    <t>E</t>
  </si>
  <si>
    <t>BAC BOUSSY</t>
  </si>
  <si>
    <t>BC COSTIERES</t>
  </si>
  <si>
    <t>JOCK CHANCE</t>
  </si>
  <si>
    <t>RODEZ</t>
  </si>
  <si>
    <t>STRIKE 59</t>
  </si>
  <si>
    <t>WINNER'S ORLEANS</t>
  </si>
  <si>
    <t>5M</t>
  </si>
  <si>
    <t>MISEREY SALINES</t>
  </si>
  <si>
    <t>BONOBOWL'S BUXEROLLES</t>
  </si>
  <si>
    <t>PERTUIS</t>
  </si>
  <si>
    <t>poule de 10 équipes</t>
  </si>
  <si>
    <t>Chpt Jeunes J4 - HOUDAN</t>
  </si>
  <si>
    <t>HOUDAN</t>
  </si>
  <si>
    <t>Chpt Jeunes J5 - THIAIS</t>
  </si>
  <si>
    <t>Chpt Doublette SENIORS+   - THIAIS</t>
  </si>
  <si>
    <t>Chpt Indiv. HONNEUR - BOUSSY</t>
  </si>
  <si>
    <t>Tournoi des Mouettes - LA ROCHELLE</t>
  </si>
  <si>
    <t>3-1 hp</t>
  </si>
  <si>
    <r>
      <t>LEPRINCE</t>
    </r>
    <r>
      <rPr>
        <sz val="10"/>
        <rFont val="Arial"/>
        <family val="2"/>
      </rPr>
      <t xml:space="preserve"> David</t>
    </r>
  </si>
  <si>
    <t>MORGADO Théo</t>
  </si>
  <si>
    <r>
      <t>LE FILOUS</t>
    </r>
    <r>
      <rPr>
        <sz val="10"/>
        <color theme="3"/>
        <rFont val="Arial"/>
        <family val="2"/>
      </rPr>
      <t xml:space="preserve"> Julie</t>
    </r>
  </si>
  <si>
    <t>Challenge Double Mixte Honneur - HOUDAN</t>
  </si>
  <si>
    <t>2M sc</t>
  </si>
  <si>
    <r>
      <t>FARGEIX</t>
    </r>
    <r>
      <rPr>
        <sz val="10"/>
        <rFont val="Arial"/>
        <family val="2"/>
      </rPr>
      <t xml:space="preserve"> Christian</t>
    </r>
  </si>
  <si>
    <t>Chpt Indiv. Excellence - BOUSSY</t>
  </si>
  <si>
    <t>Finale Chpt Jeunes - NANTES St.SEBASTIEN</t>
  </si>
  <si>
    <t>Chpt des Clubs Hom R2D - BOUSSY St A</t>
  </si>
  <si>
    <t>Chpt des Clubs Hom R2C - BOUSSY St A</t>
  </si>
  <si>
    <t>Chpt des Clubs Hom R2C - BOUSSY</t>
  </si>
  <si>
    <t>Chpt des Clubs Hom R2D - BOUSSY</t>
  </si>
  <si>
    <t>Ligue FEDE du mercredi - THIAIS</t>
  </si>
  <si>
    <t>Tournoi Club BCP Coupe René - HOUDAN</t>
  </si>
  <si>
    <t>&amp;</t>
  </si>
  <si>
    <t>Chpt des Clubs Hom R2C - BALLAINVILLIERS</t>
  </si>
  <si>
    <t>Chpt des Clubs Hom R2D - BALLAINVILLIERS</t>
  </si>
  <si>
    <t>Chpt des Clubs Dames R2</t>
  </si>
  <si>
    <t>2 sc / hp</t>
  </si>
  <si>
    <t>Chpt Doublette Excellence - MOUSSY le Neuf</t>
  </si>
  <si>
    <t>4 minimes D</t>
  </si>
  <si>
    <t>Chpt SE Quadrette - THIAIS</t>
  </si>
  <si>
    <t>6 benjamins H</t>
  </si>
  <si>
    <t>12 juniors H</t>
  </si>
  <si>
    <t>MASTER Jeunes - ORLEANS</t>
  </si>
  <si>
    <t>Sam &amp; Dim</t>
  </si>
  <si>
    <t>Tournoi St Valentin du BCP - HOUDAN</t>
  </si>
  <si>
    <t>4 sc</t>
  </si>
  <si>
    <r>
      <t>Phase Nationale</t>
    </r>
    <r>
      <rPr>
        <sz val="10"/>
        <rFont val="Arial"/>
        <family val="2"/>
      </rPr>
      <t xml:space="preserve"> 32 quadrettes</t>
    </r>
  </si>
  <si>
    <t>Chpt Doublette Excellence - HOUDAN</t>
  </si>
  <si>
    <t>20 doublettes hommes</t>
  </si>
  <si>
    <t xml:space="preserve"> 6 minimes H</t>
  </si>
  <si>
    <t>7 juniors H</t>
  </si>
  <si>
    <t>Chpt Indiv. Honneur - RAMBOUILLET</t>
  </si>
  <si>
    <t>8 doublettes dames</t>
  </si>
  <si>
    <t>14 joueuses</t>
  </si>
  <si>
    <r>
      <t xml:space="preserve">Phase Région - </t>
    </r>
    <r>
      <rPr>
        <sz val="10"/>
        <rFont val="Arial"/>
        <family val="2"/>
      </rPr>
      <t>37 joueurs</t>
    </r>
  </si>
  <si>
    <r>
      <t>Phase Région</t>
    </r>
    <r>
      <rPr>
        <sz val="10"/>
        <rFont val="Arial"/>
        <family val="2"/>
      </rPr>
      <t xml:space="preserve"> - 14 joueuses</t>
    </r>
  </si>
  <si>
    <r>
      <t>Phase Région</t>
    </r>
    <r>
      <rPr>
        <sz val="10"/>
        <rFont val="Arial"/>
        <family val="2"/>
      </rPr>
      <t xml:space="preserve"> - 23 joueurs</t>
    </r>
  </si>
  <si>
    <r>
      <t>MORGADO</t>
    </r>
    <r>
      <rPr>
        <sz val="10"/>
        <rFont val="Arial"/>
        <family val="2"/>
      </rPr>
      <t xml:space="preserve"> Jean Claude</t>
    </r>
  </si>
  <si>
    <r>
      <t xml:space="preserve">GUYOT </t>
    </r>
    <r>
      <rPr>
        <sz val="10"/>
        <rFont val="Arial"/>
        <family val="2"/>
      </rPr>
      <t>Stéphane</t>
    </r>
  </si>
  <si>
    <t>30 joueurs et 15 joueuses</t>
  </si>
  <si>
    <r>
      <rPr>
        <b/>
        <sz val="10"/>
        <rFont val="Arial"/>
        <family val="2"/>
      </rPr>
      <t xml:space="preserve">Phase District  </t>
    </r>
    <r>
      <rPr>
        <sz val="10"/>
        <rFont val="Arial"/>
        <family val="2"/>
      </rPr>
      <t>45 joueurs</t>
    </r>
  </si>
  <si>
    <t>11 triplettes</t>
  </si>
  <si>
    <r>
      <t xml:space="preserve">Phase 1 - IDF  </t>
    </r>
    <r>
      <rPr>
        <sz val="10"/>
        <rFont val="Arial"/>
        <family val="2"/>
      </rPr>
      <t>14 doublettes</t>
    </r>
    <r>
      <rPr>
        <b/>
        <sz val="10"/>
        <rFont val="Arial"/>
        <family val="2"/>
      </rPr>
      <t xml:space="preserve"> SC Hommes</t>
    </r>
  </si>
  <si>
    <r>
      <rPr>
        <sz val="10"/>
        <rFont val="Arial"/>
        <family val="2"/>
      </rPr>
      <t>7 doublettes</t>
    </r>
    <r>
      <rPr>
        <b/>
        <sz val="10"/>
        <rFont val="Arial"/>
        <family val="2"/>
      </rPr>
      <t xml:space="preserve"> SB Dames</t>
    </r>
  </si>
  <si>
    <t>7 benjamins H</t>
  </si>
  <si>
    <t>4 juniors H</t>
  </si>
  <si>
    <t>3 minimes D</t>
  </si>
  <si>
    <t>7 minimes H</t>
  </si>
  <si>
    <t>T.D.M. - HOUDAN</t>
  </si>
  <si>
    <t>14 joueurs</t>
  </si>
  <si>
    <t>12 triplettes</t>
  </si>
  <si>
    <t>23 joueurs</t>
  </si>
  <si>
    <t>39 joueurs</t>
  </si>
  <si>
    <t>40 joueurs</t>
  </si>
  <si>
    <t>22 joueurs</t>
  </si>
  <si>
    <t>6 minimes H et 2 MI F</t>
  </si>
  <si>
    <t>Chpt Indiv. EXCELLENCE - THIAIS</t>
  </si>
  <si>
    <t>1-3 hp</t>
  </si>
  <si>
    <t>24 équipes</t>
  </si>
  <si>
    <t>Ligue du jeudi - RAMBOUILLET</t>
  </si>
  <si>
    <r>
      <t xml:space="preserve">Période 2 - </t>
    </r>
    <r>
      <rPr>
        <sz val="10"/>
        <rFont val="Arial"/>
        <family val="2"/>
      </rPr>
      <t>12 équipes</t>
    </r>
  </si>
  <si>
    <r>
      <t xml:space="preserve">Période 3 - </t>
    </r>
    <r>
      <rPr>
        <sz val="10"/>
        <rFont val="Arial"/>
        <family val="2"/>
      </rPr>
      <t>12 équipes</t>
    </r>
  </si>
  <si>
    <t>Tournoi Hugues - RAMBOUILLET</t>
  </si>
  <si>
    <t>4-2-1 hp</t>
  </si>
  <si>
    <t>18 équipes</t>
  </si>
  <si>
    <t>36 doublettes</t>
  </si>
  <si>
    <t>72 joueurs</t>
  </si>
  <si>
    <r>
      <t xml:space="preserve">Période 3 - </t>
    </r>
    <r>
      <rPr>
        <sz val="10"/>
        <rFont val="Arial"/>
        <family val="2"/>
      </rPr>
      <t>14 équipes</t>
    </r>
  </si>
  <si>
    <r>
      <t xml:space="preserve">Période 2 - </t>
    </r>
    <r>
      <rPr>
        <sz val="10"/>
        <rFont val="Arial"/>
        <family val="2"/>
      </rPr>
      <t>8 équipes</t>
    </r>
  </si>
  <si>
    <t>32 joueurs</t>
  </si>
  <si>
    <t>Tournoi Firebowl - ORLEANS</t>
  </si>
  <si>
    <t>20 équipes</t>
  </si>
  <si>
    <t>Bowling GP séries Jeunes - GD QUEVILLY</t>
  </si>
  <si>
    <t>12 joueurs U21</t>
  </si>
  <si>
    <t>Tournoi club du BC PLAISIR - NOGENT le ROTROU</t>
  </si>
  <si>
    <t>28 joueurs</t>
  </si>
  <si>
    <t>Nogent le Rotrou</t>
  </si>
  <si>
    <t>40 joueurs - 21 joueuses</t>
  </si>
  <si>
    <t>30 joueurs - 9 joueuses</t>
  </si>
  <si>
    <t>16 joueurs</t>
  </si>
  <si>
    <t>Ligue d'été - RAMBOUILLET</t>
  </si>
  <si>
    <r>
      <t xml:space="preserve">FAVREAU </t>
    </r>
    <r>
      <rPr>
        <sz val="10"/>
        <color rgb="FFFF0000"/>
        <rFont val="Arial"/>
        <family val="2"/>
      </rPr>
      <t>Alexis</t>
    </r>
  </si>
  <si>
    <r>
      <t xml:space="preserve">GE </t>
    </r>
    <r>
      <rPr>
        <sz val="10"/>
        <color rgb="FFFF0000"/>
        <rFont val="Arial"/>
        <family val="2"/>
      </rPr>
      <t>Kelio</t>
    </r>
  </si>
  <si>
    <r>
      <t xml:space="preserve">ZIMMERMANN </t>
    </r>
    <r>
      <rPr>
        <sz val="10"/>
        <color rgb="FFFF0000"/>
        <rFont val="Arial"/>
        <family val="2"/>
      </rPr>
      <t>Thibaut</t>
    </r>
  </si>
  <si>
    <r>
      <t xml:space="preserve">CARRIC </t>
    </r>
    <r>
      <rPr>
        <sz val="10"/>
        <rFont val="Arial"/>
        <family val="2"/>
      </rPr>
      <t>Olivier</t>
    </r>
  </si>
  <si>
    <r>
      <t xml:space="preserve">NIVET </t>
    </r>
    <r>
      <rPr>
        <sz val="10"/>
        <rFont val="Arial"/>
        <family val="2"/>
      </rPr>
      <t>Jean-Pierre</t>
    </r>
  </si>
  <si>
    <r>
      <t xml:space="preserve">NIVET </t>
    </r>
    <r>
      <rPr>
        <sz val="10"/>
        <rFont val="Arial"/>
        <family val="2"/>
      </rPr>
      <t>Muriel</t>
    </r>
  </si>
  <si>
    <t>Chpt Doublette Excellence - MOUSSY LE NEUF</t>
  </si>
  <si>
    <r>
      <t>MARINA</t>
    </r>
    <r>
      <rPr>
        <sz val="10"/>
        <color rgb="FFFF0000"/>
        <rFont val="Arial"/>
        <family val="2"/>
      </rPr>
      <t xml:space="preserve"> Daniel</t>
    </r>
  </si>
  <si>
    <r>
      <t>NIVET</t>
    </r>
    <r>
      <rPr>
        <sz val="10"/>
        <rFont val="Arial"/>
        <family val="2"/>
      </rPr>
      <t xml:space="preserve"> Muriel</t>
    </r>
  </si>
  <si>
    <r>
      <t>NIVET</t>
    </r>
    <r>
      <rPr>
        <sz val="10"/>
        <rFont val="Arial"/>
        <family val="2"/>
      </rPr>
      <t xml:space="preserve"> Jean-Pierre</t>
    </r>
  </si>
  <si>
    <r>
      <t>CARRIC</t>
    </r>
    <r>
      <rPr>
        <sz val="10"/>
        <rFont val="Arial"/>
        <family val="2"/>
      </rPr>
      <t xml:space="preserve"> Olivier</t>
    </r>
  </si>
  <si>
    <r>
      <t>LEPRINCE</t>
    </r>
    <r>
      <rPr>
        <sz val="10"/>
        <color rgb="FFFF0000"/>
        <rFont val="Arial"/>
        <family val="2"/>
      </rPr>
      <t xml:space="preserve"> David</t>
    </r>
  </si>
  <si>
    <t>Petersen d'été - THIAIS</t>
  </si>
  <si>
    <r>
      <t>FARGEIX</t>
    </r>
    <r>
      <rPr>
        <sz val="10"/>
        <rFont val="Arial"/>
        <family val="2"/>
      </rPr>
      <t xml:space="preserve"> Florence</t>
    </r>
  </si>
  <si>
    <r>
      <t>MORGADO</t>
    </r>
    <r>
      <rPr>
        <sz val="10"/>
        <color theme="3"/>
        <rFont val="Arial"/>
        <family val="2"/>
      </rPr>
      <t xml:space="preserve"> Théo</t>
    </r>
  </si>
  <si>
    <t>équipe 4e</t>
  </si>
  <si>
    <t>2e hp / 35j</t>
  </si>
  <si>
    <t>7e hp / 29j</t>
  </si>
  <si>
    <t>équipe 12e</t>
  </si>
  <si>
    <t>Martin Benjamin</t>
  </si>
  <si>
    <t>Arstand Jacques</t>
  </si>
  <si>
    <t>Round Robin - BALLAINVILLIERS</t>
  </si>
  <si>
    <t>équipe 18e</t>
  </si>
  <si>
    <t>31 équipes</t>
  </si>
  <si>
    <r>
      <t xml:space="preserve">GUYOT </t>
    </r>
    <r>
      <rPr>
        <sz val="10"/>
        <color rgb="FFFF0000"/>
        <rFont val="Arial"/>
        <family val="2"/>
      </rPr>
      <t>Jean Michel</t>
    </r>
  </si>
  <si>
    <r>
      <t xml:space="preserve">MORGADO </t>
    </r>
    <r>
      <rPr>
        <sz val="10"/>
        <color rgb="FFFF0000"/>
        <rFont val="Arial"/>
        <family val="2"/>
      </rPr>
      <t>Théo</t>
    </r>
  </si>
  <si>
    <t>CA</t>
  </si>
  <si>
    <r>
      <t>TERRIEN</t>
    </r>
    <r>
      <rPr>
        <sz val="10"/>
        <color theme="3"/>
        <rFont val="Arial"/>
        <family val="2"/>
      </rPr>
      <t xml:space="preserve"> Blaise</t>
    </r>
  </si>
  <si>
    <t>PO</t>
  </si>
  <si>
    <t>C.S.N.B.   Calendrier-Fédéral - Définitif 11 juillet 2025</t>
  </si>
  <si>
    <t>Calendrier Fédéral Saison 2025-2026</t>
  </si>
  <si>
    <t xml:space="preserve">Date  
Saison 
2025-2026                                          </t>
  </si>
  <si>
    <t>INTERNATIONAL                                                   &amp; HAUT NIVEAU                                              2025-2026</t>
  </si>
  <si>
    <t>MASTER  toutes catégories</t>
  </si>
  <si>
    <t>MASTER  Jeunes</t>
  </si>
  <si>
    <t>MASTER Seniors Plus</t>
  </si>
  <si>
    <t>REGION
000-CSNB
999-AUTRES</t>
  </si>
  <si>
    <t>SEPTEMBRE 2025</t>
  </si>
  <si>
    <t>000</t>
  </si>
  <si>
    <t>NAQ</t>
  </si>
  <si>
    <t>MESCHERS BOWLING CLUB</t>
  </si>
  <si>
    <t>MONETEAU AUXERRE</t>
  </si>
  <si>
    <t>BFC</t>
  </si>
  <si>
    <t>UCS BOWLING COSNE SUR LOIRE</t>
  </si>
  <si>
    <t>NIMES</t>
  </si>
  <si>
    <t>CHAMBERY VOGLANS</t>
  </si>
  <si>
    <t>SPORTING BOWL CHAMBERY</t>
  </si>
  <si>
    <t>2-1'</t>
  </si>
  <si>
    <t>CHPT FEDERAL DOUBLETTE Honneur - Phase départemantale</t>
  </si>
  <si>
    <t>CHPT FEDERAL DOUBLETTE Excellence - Phase district /régionale</t>
  </si>
  <si>
    <r>
      <t xml:space="preserve">CHALLENGE DOUBLE MIXTE - Phase </t>
    </r>
    <r>
      <rPr>
        <sz val="11"/>
        <rFont val="Calibri"/>
        <family val="2"/>
      </rPr>
      <t>district</t>
    </r>
  </si>
  <si>
    <t>BAYEUX-SAINT Lô- FONTAINE LE COMTE</t>
  </si>
  <si>
    <t>999</t>
  </si>
  <si>
    <t>ECOLE DE BOWLING DE ST LO</t>
  </si>
  <si>
    <t>BOUSSY ST ANTOINE</t>
  </si>
  <si>
    <t>BOWLING CLUB RODEZ ONET</t>
  </si>
  <si>
    <t>AVERMES MOULINS</t>
  </si>
  <si>
    <t>ECOLE DE BOWLING AVERMES MOULINS</t>
  </si>
  <si>
    <t>CDC NATIONAUX J1</t>
  </si>
  <si>
    <t>CDC PROMOTION J1</t>
  </si>
  <si>
    <t>OCTOBRE 2025</t>
  </si>
  <si>
    <t>CHPT FEDERAL DOUBLETTE Honneur  - Phase district</t>
  </si>
  <si>
    <t>CHPT FEDERAL DOUBLETTE Excellence  - Phase régionale</t>
  </si>
  <si>
    <t>AS BOWLING CLUB LIMOUSIN LIMOGES</t>
  </si>
  <si>
    <t>ISBT GRAND QUEVILLY</t>
  </si>
  <si>
    <t>x</t>
  </si>
  <si>
    <t>2025 IBF World Seniors Championships</t>
  </si>
  <si>
    <t>Du 13/10 au 24/10  RENO</t>
  </si>
  <si>
    <t>COUPE DE FRANCE - FFH - WITTELSHEIM</t>
  </si>
  <si>
    <t>CHAMPIONNAT DE FRANCE - FFH - WITTELSHEIM</t>
  </si>
  <si>
    <t>MASTER JEUNES - LIMOGES</t>
  </si>
  <si>
    <t>SUD</t>
  </si>
  <si>
    <t>BOWLING CLUB DE LA BRUCHE</t>
  </si>
  <si>
    <t>European Championship of Champions 2025</t>
  </si>
  <si>
    <t>Du 20/10 au 26/10 VIENNE</t>
  </si>
  <si>
    <t>NOVEMBRE 2025</t>
  </si>
  <si>
    <t>BOWLING CLUB DE BAYEUX</t>
  </si>
  <si>
    <t>MASTER TOUTES CATEGORIES ET MASTER SENIORS+ 1</t>
  </si>
  <si>
    <t xml:space="preserve">AVIGNON CAP SUD </t>
  </si>
  <si>
    <t>BOWLING CLUB AVIGNON</t>
  </si>
  <si>
    <t>BOWLING CLUB MONETEAU AUXERRE</t>
  </si>
  <si>
    <r>
      <t>CHALLENGE DOUBLE MIXTE - Phase r</t>
    </r>
    <r>
      <rPr>
        <sz val="11"/>
        <rFont val="Calibri"/>
        <family val="2"/>
      </rPr>
      <t>égionale</t>
    </r>
  </si>
  <si>
    <t>2025 IBF World Championships</t>
  </si>
  <si>
    <t>Du 24/11 au 05/12 HONG KONG</t>
  </si>
  <si>
    <t>CHPT SE DOUBLE MIXTE ET QUADRETTE- Phase district/régionale</t>
  </si>
  <si>
    <t>SAINT MAXIMIN</t>
  </si>
  <si>
    <t>BSC WOLVES SAINT MAXIMIN CREIL</t>
  </si>
  <si>
    <t>BOWLING CLUB CAISSARGUES</t>
  </si>
  <si>
    <t>DECEMBRE 2025</t>
  </si>
  <si>
    <t>CHPT SE DOUBLE Dames/Hommes - Phase nationale - CHALONS EN CHAMPAGNE</t>
  </si>
  <si>
    <t>ECOLE DE BOWLING DE VIERZON</t>
  </si>
  <si>
    <t>COGNAC BOWLING CLUB</t>
  </si>
  <si>
    <t>BOWLING CLUB DE CHALLANS</t>
  </si>
  <si>
    <t>BC DE THIAIS</t>
  </si>
  <si>
    <t>1-2-4'</t>
  </si>
  <si>
    <t>CD 17</t>
  </si>
  <si>
    <t>JANVIER 2026</t>
  </si>
  <si>
    <t>ECOLE BOWLING VIERZON</t>
  </si>
  <si>
    <t xml:space="preserve">WITTELSHEIM </t>
  </si>
  <si>
    <t>?</t>
  </si>
  <si>
    <t>EAGLES WITTELSHEIM</t>
  </si>
  <si>
    <t>GRAND QUEVILLY - BOWLING GP 3PATTERNS</t>
  </si>
  <si>
    <t>BC F300 ROUEN GRAND QUEVILLY</t>
  </si>
  <si>
    <t>BOWLING CLUB CHALONNAIS</t>
  </si>
  <si>
    <t>CHPT FEDERAL INDIVIDUEL Honneur - Phase départementale</t>
  </si>
  <si>
    <t>CHPT FEDERAL INDIVIDUEL Excellence - Phase district/régionale</t>
  </si>
  <si>
    <t>CHPT DE FRANCE INDIVIDUEL - Phase régionale</t>
  </si>
  <si>
    <t>CHAMPIONNAT DE FRANCE DOUBLETTE - FFH - LIMOGES</t>
  </si>
  <si>
    <t>CHAMPIONNAT DE FRANCE TEAM - FFH - LIMOGES</t>
  </si>
  <si>
    <t>CHPT SE QUADRETTE - Phase nationale - FONTAINE LE COMTE</t>
  </si>
  <si>
    <t>BC RANCE</t>
  </si>
  <si>
    <t>LES HERBIERS</t>
  </si>
  <si>
    <t>FBC LES HERBIERS</t>
  </si>
  <si>
    <t>VOGLANS CHAMBERY</t>
  </si>
  <si>
    <t>FEVRIER 2026</t>
  </si>
  <si>
    <t>MASTER TOUTES CATEGORIES ET MASTER SENIORS+ 2</t>
  </si>
  <si>
    <t>ESC+65 ans Du 30/01 au 08/02 VIENNE</t>
  </si>
  <si>
    <t xml:space="preserve">CAISSARGUES </t>
  </si>
  <si>
    <t>CHPT SE DOUBLE MIXTE - Phase nationale - NOTRE DAME D'OE</t>
  </si>
  <si>
    <t>ECOLE DE BOWLING DE RODEZ</t>
  </si>
  <si>
    <t>CD 92</t>
  </si>
  <si>
    <t>MARS 2026</t>
  </si>
  <si>
    <t>BC MONETEAU AUXERRE</t>
  </si>
  <si>
    <t>CD 87</t>
  </si>
  <si>
    <t>SAINT DENIS LES BOURGS</t>
  </si>
  <si>
    <t>BOWLING CLUB BRESSAN</t>
  </si>
  <si>
    <t>CHPT DE FRANCE INDIVIDUEL - Finale nationale - WITTELSHEIM</t>
  </si>
  <si>
    <t>AVIGNON - TOURNOI DU CHOCOLAT</t>
  </si>
  <si>
    <t>CDC NATIONAUX J2</t>
  </si>
  <si>
    <t>CDC PROMOTION J2</t>
  </si>
  <si>
    <t>CDC REGIONAL J2</t>
  </si>
  <si>
    <t>European Youth Championship 2026</t>
  </si>
  <si>
    <t>CHPT DE FRANCE INDIVIDUEL SENIORS+ - Phase district/régionale</t>
  </si>
  <si>
    <t>Du 28/03 au 06/04 BERLIN</t>
  </si>
  <si>
    <t>AVRIL 2026</t>
  </si>
  <si>
    <t>VILLENEUVE D'ASCQ</t>
  </si>
  <si>
    <t>3-1'</t>
  </si>
  <si>
    <t>AS LEGRAND</t>
  </si>
  <si>
    <t>Date limite - phases régionales - Chpt de France doublettes Séniors +</t>
  </si>
  <si>
    <t>JOURNÉE des COMITÉS - J3 ZA ZC</t>
  </si>
  <si>
    <t>Fontaine Bowling Club</t>
  </si>
  <si>
    <t>BORDEAUX</t>
  </si>
  <si>
    <t>3-2-1'</t>
  </si>
  <si>
    <t>BC DES JALLES</t>
  </si>
  <si>
    <t>JOURNÉE des COMITÉS - J3 ZB</t>
  </si>
  <si>
    <t>4-2'</t>
  </si>
  <si>
    <t>MAI 2026</t>
  </si>
  <si>
    <r>
      <t xml:space="preserve">JOURNEES JEUNES  </t>
    </r>
    <r>
      <rPr>
        <sz val="11"/>
        <rFont val="Calibri"/>
        <family val="2"/>
      </rPr>
      <t>(date limite)</t>
    </r>
  </si>
  <si>
    <t>Skittle Club Franche Comte</t>
  </si>
  <si>
    <t>REIMS THILLOIS</t>
  </si>
  <si>
    <t>CBA REIMS</t>
  </si>
  <si>
    <t>PBC SAINT NAZAIRE</t>
  </si>
  <si>
    <t>MASTER TOUTES CATEGORIES ET MASTER SENIORS+ 3</t>
  </si>
  <si>
    <t xml:space="preserve">LYON DECINES </t>
  </si>
  <si>
    <t>LIGUE ARA</t>
  </si>
  <si>
    <t>CHPT DE FRANCE INDIVIDUEL JEUNES - Phase régionale</t>
  </si>
  <si>
    <t>SCB AGENAIS</t>
  </si>
  <si>
    <t>COGNAC BC</t>
  </si>
  <si>
    <t>BEC 2026</t>
  </si>
  <si>
    <t xml:space="preserve">Du 13/05 au 17/05 WITTELSHEIM </t>
  </si>
  <si>
    <t>ANGERS</t>
  </si>
  <si>
    <t>ANGERS BOWLING CLUB</t>
  </si>
  <si>
    <t>C</t>
  </si>
  <si>
    <t xml:space="preserve">ORLEANS </t>
  </si>
  <si>
    <t>ISBT WITTELSHEIM</t>
  </si>
  <si>
    <t>CDC NATIONAUX J3</t>
  </si>
  <si>
    <t>CDC PROMOTION J3</t>
  </si>
  <si>
    <t>JUIN 2026</t>
  </si>
  <si>
    <t>European Womens Championship 2026</t>
  </si>
  <si>
    <t>CHPT DE FRANCE DOUBLETTES SENIORS + - Finale nationale - AUX ATELIERS - AUDINCOURT</t>
  </si>
  <si>
    <t>CHPT DE FRANCE INDIVIDUEL SENIORS+ - Finale nationale - AUX ATELIERS - AUDINCOURT</t>
  </si>
  <si>
    <t>Du 10/06 au 21/06 ODENSE</t>
  </si>
  <si>
    <t>CONTREXEVILLE</t>
  </si>
  <si>
    <t>BOWLING CLUB DE CONTREXEVILLE</t>
  </si>
  <si>
    <t>AVALLON</t>
  </si>
  <si>
    <t>ANGOULEME</t>
  </si>
  <si>
    <t>ANGOULEME BC</t>
  </si>
  <si>
    <t>WITTELSHEIM</t>
  </si>
  <si>
    <t>CHPT FEDERAL INDIVIDUEL Honneur - Phase district/régionale</t>
  </si>
  <si>
    <t xml:space="preserve">Du 20/06 au 27/06 </t>
  </si>
  <si>
    <t>CHPT FEDERAL INDIVIDUEL Excellence - Phase régionale</t>
  </si>
  <si>
    <t>ROME</t>
  </si>
  <si>
    <t>CHAMPIONNAT DE FRANCE INDIVIDUEL - FFH - AVIGNON</t>
  </si>
  <si>
    <t>CHALLENGE NATIONAL UNO - FFH - AVIGNON</t>
  </si>
  <si>
    <t>Skittle Club France Comte</t>
  </si>
  <si>
    <t>CIGALES BOWLERS DE PERTUIS</t>
  </si>
  <si>
    <t>PIN BULLS</t>
  </si>
  <si>
    <t>CHAURAY BC</t>
  </si>
  <si>
    <t>VALHALLA VIRE NORMANDIE</t>
  </si>
  <si>
    <t>JUILLET 2026</t>
  </si>
  <si>
    <t>MASTER JEUNES  - Finale nationale - GRAND QUEVILLY</t>
  </si>
  <si>
    <t>CHPT DE FRANCE INDIVIDUEL JEUNES - Finale nationale - GRAND QUEVILLY</t>
  </si>
  <si>
    <t>FINALE MASTER SENIORS + - FINALE MASTER TOUTE CATEGORIE - WITTELSHEIM</t>
  </si>
  <si>
    <t>AOUT 2026</t>
  </si>
  <si>
    <t>ISBT SAINT MAXIMIN</t>
  </si>
  <si>
    <t>équipe</t>
  </si>
  <si>
    <t>7e Qualifié</t>
  </si>
  <si>
    <t>12e  NQ</t>
  </si>
  <si>
    <t>13e  NQ</t>
  </si>
  <si>
    <t>14e  NQ</t>
  </si>
  <si>
    <t>16e  NQ</t>
  </si>
  <si>
    <t>7 équipes H  et  6 équipes D</t>
  </si>
  <si>
    <t>1ere Qualifiée</t>
  </si>
  <si>
    <t>4e Qualifié</t>
  </si>
  <si>
    <t>2e Qualifiée</t>
  </si>
  <si>
    <t>3e Qualifiée</t>
  </si>
  <si>
    <t>8e Qualifié</t>
  </si>
  <si>
    <t>15e NQ</t>
  </si>
  <si>
    <t>4e Qualifiée</t>
  </si>
  <si>
    <t>5e Qualifiée</t>
  </si>
  <si>
    <t>17 équipes H  et  5 équipes D</t>
  </si>
  <si>
    <t>15&amp;16/11/25</t>
  </si>
  <si>
    <t>Chpt des Clubs Fem R1 - COURBEVOIE</t>
  </si>
  <si>
    <t>Chpt des Clubs Fem R2 - COURBEVOIE</t>
  </si>
  <si>
    <r>
      <t xml:space="preserve">MORGADO </t>
    </r>
    <r>
      <rPr>
        <sz val="10"/>
        <rFont val="Arial"/>
        <family val="2"/>
      </rPr>
      <t>Jean Claude</t>
    </r>
  </si>
  <si>
    <r>
      <t>GUYOT</t>
    </r>
    <r>
      <rPr>
        <sz val="10"/>
        <color rgb="FFFF0000"/>
        <rFont val="Arial"/>
        <family val="2"/>
      </rPr>
      <t xml:space="preserve"> Jean Michel</t>
    </r>
  </si>
  <si>
    <r>
      <t xml:space="preserve">GUYOT </t>
    </r>
    <r>
      <rPr>
        <sz val="10"/>
        <color theme="3"/>
        <rFont val="Arial"/>
        <family val="2"/>
      </rPr>
      <t>Stéphane</t>
    </r>
  </si>
  <si>
    <t>2e PO H</t>
  </si>
  <si>
    <t>2e MI H</t>
  </si>
  <si>
    <t>5e CA H</t>
  </si>
  <si>
    <t>1er JU H</t>
  </si>
  <si>
    <t>4e JU H</t>
  </si>
  <si>
    <t>1er MI F</t>
  </si>
  <si>
    <t>2 poussins H</t>
  </si>
  <si>
    <t>4 minimes H - 2 minimes F</t>
  </si>
  <si>
    <t>6 cadets H</t>
  </si>
  <si>
    <r>
      <t>KUBIAK</t>
    </r>
    <r>
      <rPr>
        <sz val="10"/>
        <color theme="3"/>
        <rFont val="Arial"/>
        <family val="2"/>
      </rPr>
      <t xml:space="preserve"> Charlie</t>
    </r>
  </si>
  <si>
    <t>BJ</t>
  </si>
  <si>
    <r>
      <t xml:space="preserve">KUBIAK </t>
    </r>
    <r>
      <rPr>
        <sz val="10"/>
        <color theme="3"/>
        <rFont val="Arial"/>
        <family val="2"/>
      </rPr>
      <t>Charlie</t>
    </r>
  </si>
  <si>
    <t>12 doublettes hommes</t>
  </si>
  <si>
    <r>
      <t xml:space="preserve">PILLOUD </t>
    </r>
    <r>
      <rPr>
        <sz val="10"/>
        <rFont val="Arial"/>
        <family val="2"/>
      </rPr>
      <t>Guillaume</t>
    </r>
  </si>
  <si>
    <r>
      <t>ESDOLUC</t>
    </r>
    <r>
      <rPr>
        <sz val="10"/>
        <rFont val="Arial"/>
        <family val="2"/>
      </rPr>
      <t xml:space="preserve"> Elisabeth</t>
    </r>
  </si>
  <si>
    <t>équipe 8e</t>
  </si>
  <si>
    <t>équipe 1ere</t>
  </si>
  <si>
    <t>équipe 10e</t>
  </si>
  <si>
    <t>équipe 11e</t>
  </si>
  <si>
    <r>
      <t xml:space="preserve">Phase CD78 - </t>
    </r>
    <r>
      <rPr>
        <sz val="10"/>
        <rFont val="Arial"/>
        <family val="2"/>
      </rPr>
      <t>14 joueurs et 5 joueuses</t>
    </r>
  </si>
  <si>
    <r>
      <t>Phase CD78</t>
    </r>
    <r>
      <rPr>
        <sz val="10"/>
        <rFont val="Arial"/>
        <family val="2"/>
      </rPr>
      <t xml:space="preserve"> - 8 joueurs et 5 joueuses</t>
    </r>
  </si>
  <si>
    <r>
      <t xml:space="preserve">Phase CD78 - </t>
    </r>
    <r>
      <rPr>
        <sz val="10"/>
        <rFont val="Arial"/>
        <family val="2"/>
      </rPr>
      <t>8 joueurs et 3 joueuses</t>
    </r>
  </si>
  <si>
    <r>
      <t xml:space="preserve">ESDOLUC </t>
    </r>
    <r>
      <rPr>
        <sz val="10"/>
        <rFont val="Arial"/>
        <family val="2"/>
      </rPr>
      <t>Elisabeth</t>
    </r>
  </si>
  <si>
    <t>5e et Qualif</t>
  </si>
  <si>
    <t>1er et Qualif</t>
  </si>
  <si>
    <t>4e et Qualif</t>
  </si>
  <si>
    <t>7e et Qualif</t>
  </si>
  <si>
    <t>6e et Qualif</t>
  </si>
  <si>
    <t>3e et Qualif</t>
  </si>
  <si>
    <t>10e et NQ</t>
  </si>
  <si>
    <t>12e et NQ</t>
  </si>
  <si>
    <t>2e et Qualif</t>
  </si>
  <si>
    <t>1ere et Qualif</t>
  </si>
  <si>
    <t>5e et NQ</t>
  </si>
  <si>
    <t>7e et NQ</t>
  </si>
  <si>
    <t>3e et NQ</t>
  </si>
  <si>
    <t>équipe 2e</t>
  </si>
  <si>
    <t>équipe 5e</t>
  </si>
  <si>
    <t>équipe 6e</t>
  </si>
  <si>
    <t>équipe 7e</t>
  </si>
  <si>
    <t>équipe 9e</t>
  </si>
  <si>
    <t>Chpt des Clubs Hom R1A - RAMBOUILLET</t>
  </si>
  <si>
    <t>Chpt des Clubs Hom R1A - THIAIS</t>
  </si>
  <si>
    <t>Chpt des Clubs Hom R1A - HOUDAN</t>
  </si>
  <si>
    <t>Chpt des Clubs Dames R1 - COURBEVOIE</t>
  </si>
  <si>
    <t>Chpt des Clubs Dames R2 - COURBEVOIE</t>
  </si>
  <si>
    <t>Chpt des Clubs Hom R2D - MOUSSY le NEUF</t>
  </si>
  <si>
    <t>Chpt des Clubs Hom R2C - MOUSSY le NEUF</t>
  </si>
  <si>
    <t>Chpt des Clubs Dames R1 - BOUSSY St A</t>
  </si>
  <si>
    <t>Chpt des Clubs Dames R2 - BOUSSY St A</t>
  </si>
  <si>
    <t>Chpt des Clubs Dames R1 - MOUSSY</t>
  </si>
  <si>
    <t>Chpt des Clubs Dames R2 - MOUSSY</t>
  </si>
  <si>
    <t>06&amp;07/06/26</t>
  </si>
  <si>
    <t>3e journée</t>
  </si>
  <si>
    <t>Chpt des Clubs Fem R1 - MOUSSY</t>
  </si>
  <si>
    <t>2e journée</t>
  </si>
  <si>
    <t>21&amp;22/03/26</t>
  </si>
  <si>
    <t>Chpt des Clubs Hommes R1A</t>
  </si>
  <si>
    <t>Challenge Double Mixte Honneur - BOUSSY</t>
  </si>
  <si>
    <t>18 doublettes mixte</t>
  </si>
  <si>
    <r>
      <t xml:space="preserve">Phase Région - </t>
    </r>
    <r>
      <rPr>
        <sz val="10"/>
        <rFont val="Arial"/>
        <family val="2"/>
      </rPr>
      <t>10 doublettes mixte</t>
    </r>
  </si>
  <si>
    <t>Besson Jack-André</t>
  </si>
  <si>
    <r>
      <t>Phase Régionale</t>
    </r>
    <r>
      <rPr>
        <sz val="10"/>
        <rFont val="Arial"/>
        <family val="2"/>
      </rPr>
      <t xml:space="preserve"> 5 quadrettes</t>
    </r>
  </si>
  <si>
    <t>équipe p10e</t>
  </si>
  <si>
    <t>équipe p11e</t>
  </si>
  <si>
    <t>équipe p12e</t>
  </si>
  <si>
    <r>
      <t xml:space="preserve">Période 1 - </t>
    </r>
    <r>
      <rPr>
        <sz val="10"/>
        <rFont val="Arial"/>
        <family val="2"/>
      </rPr>
      <t>9 équipes</t>
    </r>
  </si>
  <si>
    <r>
      <t xml:space="preserve">Période 1 - </t>
    </r>
    <r>
      <rPr>
        <sz val="10"/>
        <rFont val="Arial"/>
        <family val="2"/>
      </rPr>
      <t>15 équipes</t>
    </r>
  </si>
  <si>
    <t>Ligue FEDE du Jeudi - THIAIS</t>
  </si>
  <si>
    <t>34 joueurs de - 21 ans</t>
  </si>
  <si>
    <r>
      <t>Phase Régionale</t>
    </r>
    <r>
      <rPr>
        <sz val="10"/>
        <rFont val="Arial"/>
        <family val="2"/>
      </rPr>
      <t xml:space="preserve"> 10 doublettes</t>
    </r>
  </si>
  <si>
    <t>12e -21ans</t>
  </si>
  <si>
    <t>Bowling GP France - CREIL St MAXIMIN</t>
  </si>
  <si>
    <t>Chpt SE Doublette Hom - CHALONS en CHAMPAGNE</t>
  </si>
  <si>
    <t>équipe 26e</t>
  </si>
  <si>
    <r>
      <t>Phase Nationale</t>
    </r>
    <r>
      <rPr>
        <sz val="10"/>
        <rFont val="Arial"/>
        <family val="2"/>
      </rPr>
      <t xml:space="preserve"> 30 doublettes</t>
    </r>
  </si>
  <si>
    <t>3e BJ H</t>
  </si>
  <si>
    <r>
      <t xml:space="preserve">PILLOUD </t>
    </r>
    <r>
      <rPr>
        <sz val="10"/>
        <color theme="3"/>
        <rFont val="Arial"/>
        <family val="2"/>
      </rPr>
      <t>Alexandre</t>
    </r>
  </si>
  <si>
    <t>5e MI H</t>
  </si>
  <si>
    <t>2e JU H</t>
  </si>
  <si>
    <t>5e JU H</t>
  </si>
  <si>
    <t>équipe 3e</t>
  </si>
  <si>
    <t>3 Benjamins H</t>
  </si>
  <si>
    <t>6 minimes H</t>
  </si>
  <si>
    <t>5 juniors H</t>
  </si>
  <si>
    <t>Listing de Décembre 2025</t>
  </si>
  <si>
    <t>42e hp / 74j</t>
  </si>
  <si>
    <t>9e hp / 74j</t>
  </si>
  <si>
    <t>10e hp / 32j</t>
  </si>
  <si>
    <t>31e / 42j</t>
  </si>
  <si>
    <t>21e / 52j</t>
  </si>
  <si>
    <t>3e / 36j</t>
  </si>
  <si>
    <t>28e / 36j</t>
  </si>
  <si>
    <t>27e / 36j</t>
  </si>
  <si>
    <t>2e / 20j</t>
  </si>
  <si>
    <t>3e / 20j</t>
  </si>
  <si>
    <t>9e / 20j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</si>
</sst>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0.00;[Red]0.00"/>
    <numFmt numFmtId="165" formatCode="[$-40C]dd/mm/yyyy"/>
    <numFmt numFmtId="166" formatCode="#,##0.00_ ;\-#,##0.00\ "/>
  </numFmts>
  <fonts count="8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i/>
      <sz val="16"/>
      <name val="Arial"/>
      <family val="2"/>
    </font>
    <font>
      <b/>
      <i/>
      <sz val="8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vertAlign val="superscript"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Calibri"/>
      <family val="2"/>
      <charset val="1"/>
    </font>
    <font>
      <sz val="10"/>
      <name val="Georgia"/>
      <family val="1"/>
      <charset val="1"/>
    </font>
    <font>
      <sz val="10"/>
      <name val="Arial"/>
      <family val="2"/>
      <charset val="1"/>
    </font>
    <font>
      <i/>
      <sz val="10"/>
      <color theme="4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charset val="1"/>
    </font>
    <font>
      <b/>
      <sz val="10"/>
      <color theme="3"/>
      <name val="Arial"/>
      <family val="2"/>
    </font>
    <font>
      <sz val="10"/>
      <color theme="3"/>
      <name val="Arial"/>
      <family val="2"/>
    </font>
    <font>
      <i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b/>
      <sz val="11"/>
      <name val="Arial"/>
      <family val="2"/>
    </font>
    <font>
      <b/>
      <sz val="10"/>
      <color rgb="FF00B050"/>
      <name val="Arial"/>
      <family val="2"/>
    </font>
    <font>
      <i/>
      <sz val="9"/>
      <name val="Arial"/>
      <family val="2"/>
    </font>
    <font>
      <sz val="12"/>
      <name val="Aptos"/>
      <family val="2"/>
    </font>
    <font>
      <b/>
      <sz val="16"/>
      <color theme="0"/>
      <name val="Aptos"/>
      <family val="2"/>
    </font>
    <font>
      <b/>
      <sz val="12"/>
      <color theme="0"/>
      <name val="Aptos"/>
      <family val="2"/>
    </font>
    <font>
      <b/>
      <sz val="12"/>
      <name val="Aptos"/>
      <family val="2"/>
    </font>
    <font>
      <b/>
      <sz val="12"/>
      <color rgb="FFFFC000"/>
      <name val="Aptos"/>
      <family val="2"/>
    </font>
    <font>
      <b/>
      <sz val="12"/>
      <color rgb="FF00B0F0"/>
      <name val="Aptos"/>
      <family val="2"/>
    </font>
    <font>
      <b/>
      <sz val="12"/>
      <color theme="9" tint="-0.249977111117893"/>
      <name val="Aptos"/>
      <family val="2"/>
    </font>
    <font>
      <b/>
      <sz val="12"/>
      <color rgb="FFFF0000"/>
      <name val="Aptos"/>
      <family val="2"/>
    </font>
    <font>
      <b/>
      <sz val="12"/>
      <color rgb="FF0000FF"/>
      <name val="Aptos"/>
      <family val="2"/>
    </font>
    <font>
      <sz val="12"/>
      <color rgb="FFFF0000"/>
      <name val="Aptos"/>
      <family val="2"/>
    </font>
    <font>
      <sz val="11"/>
      <color rgb="FF000000"/>
      <name val="Calibri"/>
      <family val="2"/>
      <scheme val="minor"/>
    </font>
    <font>
      <b/>
      <sz val="10"/>
      <color theme="5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0"/>
      <color theme="4"/>
      <name val="Calibri"/>
      <family val="2"/>
      <scheme val="minor"/>
    </font>
    <font>
      <b/>
      <sz val="11"/>
      <color theme="4"/>
      <name val="Calibri"/>
      <family val="2"/>
      <scheme val="minor"/>
    </font>
    <font>
      <strike/>
      <sz val="12"/>
      <color rgb="FFFF0000"/>
      <name val="Aptos"/>
      <family val="2"/>
    </font>
    <font>
      <strike/>
      <sz val="11"/>
      <color rgb="FFFF0000"/>
      <name val="Calibri"/>
      <family val="2"/>
      <scheme val="minor"/>
    </font>
    <font>
      <b/>
      <strike/>
      <sz val="12"/>
      <color rgb="FFFF0000"/>
      <name val="Aptos"/>
      <family val="2"/>
    </font>
    <font>
      <b/>
      <strike/>
      <sz val="11"/>
      <color rgb="FFFF0000"/>
      <name val="Calibri"/>
      <family val="2"/>
      <scheme val="minor"/>
    </font>
    <font>
      <i/>
      <sz val="12"/>
      <color rgb="FFFF0000"/>
      <name val="Aptos"/>
      <family val="2"/>
    </font>
    <font>
      <b/>
      <sz val="12"/>
      <color theme="1"/>
      <name val="Aptos"/>
      <family val="2"/>
    </font>
    <font>
      <b/>
      <sz val="11"/>
      <color theme="1"/>
      <name val="Calibri"/>
      <family val="2"/>
      <scheme val="minor"/>
    </font>
    <font>
      <sz val="12"/>
      <color theme="1"/>
      <name val="Aptos"/>
      <family val="2"/>
    </font>
    <font>
      <sz val="12"/>
      <color rgb="FFFFC000"/>
      <name val="Aptos"/>
      <family val="2"/>
    </font>
    <font>
      <sz val="12"/>
      <color rgb="FF00B0F0"/>
      <name val="Aptos"/>
      <family val="2"/>
    </font>
    <font>
      <sz val="12"/>
      <color theme="9" tint="-0.249977111117893"/>
      <name val="Aptos"/>
      <family val="2"/>
    </font>
    <font>
      <sz val="10"/>
      <color theme="1"/>
      <name val="Arial"/>
      <family val="2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0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20" borderId="1" applyNumberFormat="0" applyAlignment="0" applyProtection="0"/>
    <xf numFmtId="0" fontId="9" fillId="0" borderId="2" applyNumberFormat="0" applyFill="0" applyAlignment="0" applyProtection="0"/>
    <xf numFmtId="0" fontId="10" fillId="7" borderId="1" applyNumberFormat="0" applyAlignment="0" applyProtection="0"/>
    <xf numFmtId="0" fontId="11" fillId="3" borderId="0" applyNumberFormat="0" applyBorder="0" applyAlignment="0" applyProtection="0"/>
    <xf numFmtId="43" fontId="2" fillId="0" borderId="0" applyFont="0" applyFill="0" applyBorder="0" applyAlignment="0" applyProtection="0"/>
    <xf numFmtId="0" fontId="12" fillId="21" borderId="0" applyNumberFormat="0" applyBorder="0" applyAlignment="0" applyProtection="0"/>
    <xf numFmtId="0" fontId="33" fillId="0" borderId="0"/>
    <xf numFmtId="0" fontId="13" fillId="4" borderId="0" applyNumberFormat="0" applyBorder="0" applyAlignment="0" applyProtection="0"/>
    <xf numFmtId="0" fontId="14" fillId="20" borderId="3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9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7" applyNumberFormat="0" applyFill="0" applyAlignment="0" applyProtection="0"/>
    <xf numFmtId="0" fontId="21" fillId="22" borderId="8" applyNumberFormat="0" applyAlignment="0" applyProtection="0"/>
    <xf numFmtId="0" fontId="33" fillId="0" borderId="0"/>
    <xf numFmtId="0" fontId="36" fillId="0" borderId="0"/>
    <xf numFmtId="0" fontId="37" fillId="0" borderId="0"/>
    <xf numFmtId="0" fontId="38" fillId="0" borderId="0"/>
    <xf numFmtId="44" fontId="40" fillId="0" borderId="0" applyFont="0" applyFill="0" applyBorder="0" applyAlignment="0" applyProtection="0"/>
    <xf numFmtId="0" fontId="2" fillId="0" borderId="0"/>
    <xf numFmtId="0" fontId="41" fillId="0" borderId="0" applyNumberFormat="0" applyFill="0" applyBorder="0" applyAlignment="0" applyProtection="0"/>
  </cellStyleXfs>
  <cellXfs count="428">
    <xf numFmtId="0" fontId="0" fillId="0" borderId="0" xfId="0"/>
    <xf numFmtId="0" fontId="22" fillId="23" borderId="9" xfId="0" applyFont="1" applyFill="1" applyBorder="1" applyAlignment="1">
      <alignment horizontal="center" vertical="center" wrapText="1"/>
    </xf>
    <xf numFmtId="2" fontId="22" fillId="23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4" fillId="0" borderId="0" xfId="0" applyFont="1" applyAlignment="1">
      <alignment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 textRotation="90"/>
    </xf>
    <xf numFmtId="0" fontId="0" fillId="0" borderId="0" xfId="0" applyAlignment="1">
      <alignment textRotation="90"/>
    </xf>
    <xf numFmtId="15" fontId="0" fillId="0" borderId="0" xfId="0" applyNumberFormat="1" applyAlignment="1">
      <alignment horizontal="center" textRotation="90"/>
    </xf>
    <xf numFmtId="0" fontId="0" fillId="0" borderId="10" xfId="0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3" fillId="23" borderId="9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5" fillId="26" borderId="11" xfId="0" applyFont="1" applyFill="1" applyBorder="1" applyAlignment="1">
      <alignment horizontal="center" vertical="center" wrapText="1"/>
    </xf>
    <xf numFmtId="0" fontId="26" fillId="26" borderId="9" xfId="0" applyFont="1" applyFill="1" applyBorder="1" applyAlignment="1">
      <alignment horizontal="center" vertical="center" wrapText="1"/>
    </xf>
    <xf numFmtId="0" fontId="27" fillId="26" borderId="13" xfId="0" applyFont="1" applyFill="1" applyBorder="1" applyAlignment="1">
      <alignment horizontal="center" vertical="center" wrapText="1"/>
    </xf>
    <xf numFmtId="0" fontId="27" fillId="26" borderId="12" xfId="0" applyFont="1" applyFill="1" applyBorder="1" applyAlignment="1">
      <alignment horizontal="center" vertical="center" wrapText="1"/>
    </xf>
    <xf numFmtId="2" fontId="27" fillId="26" borderId="14" xfId="0" applyNumberFormat="1" applyFont="1" applyFill="1" applyBorder="1" applyAlignment="1">
      <alignment horizontal="center" vertical="center" wrapText="1"/>
    </xf>
    <xf numFmtId="0" fontId="24" fillId="26" borderId="0" xfId="0" applyFont="1" applyFill="1" applyAlignment="1">
      <alignment wrapText="1"/>
    </xf>
    <xf numFmtId="0" fontId="0" fillId="29" borderId="0" xfId="0" applyFill="1" applyAlignment="1">
      <alignment horizontal="center" vertical="center" wrapText="1"/>
    </xf>
    <xf numFmtId="0" fontId="2" fillId="29" borderId="0" xfId="0" applyFont="1" applyFill="1" applyAlignment="1">
      <alignment horizontal="center" vertical="center" wrapText="1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15" xfId="0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/>
    </xf>
    <xf numFmtId="14" fontId="0" fillId="0" borderId="15" xfId="0" applyNumberForma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15" xfId="0" applyBorder="1"/>
    <xf numFmtId="14" fontId="3" fillId="0" borderId="9" xfId="0" applyNumberFormat="1" applyFont="1" applyBorder="1" applyAlignment="1">
      <alignment horizontal="center" vertical="center" wrapText="1"/>
    </xf>
    <xf numFmtId="0" fontId="28" fillId="32" borderId="10" xfId="0" applyFont="1" applyFill="1" applyBorder="1" applyAlignment="1">
      <alignment horizontal="center" vertical="center"/>
    </xf>
    <xf numFmtId="3" fontId="28" fillId="32" borderId="10" xfId="0" applyNumberFormat="1" applyFont="1" applyFill="1" applyBorder="1" applyAlignment="1">
      <alignment horizontal="center" vertical="center"/>
    </xf>
    <xf numFmtId="49" fontId="28" fillId="32" borderId="10" xfId="0" applyNumberFormat="1" applyFont="1" applyFill="1" applyBorder="1" applyAlignment="1">
      <alignment horizontal="center" vertical="center"/>
    </xf>
    <xf numFmtId="0" fontId="28" fillId="33" borderId="10" xfId="0" applyFont="1" applyFill="1" applyBorder="1" applyAlignment="1">
      <alignment horizontal="center" vertical="center"/>
    </xf>
    <xf numFmtId="49" fontId="28" fillId="33" borderId="10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2" borderId="0" xfId="0" applyFont="1" applyFill="1" applyAlignment="1">
      <alignment horizontal="center" vertical="center" wrapText="1"/>
    </xf>
    <xf numFmtId="0" fontId="2" fillId="33" borderId="0" xfId="0" applyFont="1" applyFill="1" applyAlignment="1">
      <alignment horizontal="center" vertical="center" wrapText="1"/>
    </xf>
    <xf numFmtId="0" fontId="2" fillId="25" borderId="0" xfId="0" applyFont="1" applyFill="1" applyAlignment="1">
      <alignment horizontal="center" vertical="center" wrapText="1"/>
    </xf>
    <xf numFmtId="0" fontId="2" fillId="30" borderId="0" xfId="0" applyFont="1" applyFill="1" applyAlignment="1">
      <alignment horizontal="center" vertical="center" wrapText="1"/>
    </xf>
    <xf numFmtId="0" fontId="0" fillId="32" borderId="0" xfId="0" applyFill="1" applyAlignment="1">
      <alignment horizontal="center" vertical="center" wrapText="1"/>
    </xf>
    <xf numFmtId="0" fontId="0" fillId="33" borderId="0" xfId="0" applyFill="1" applyAlignment="1">
      <alignment horizontal="center" vertical="center" wrapText="1"/>
    </xf>
    <xf numFmtId="0" fontId="34" fillId="31" borderId="0" xfId="0" applyFont="1" applyFill="1" applyAlignment="1">
      <alignment horizontal="center" vertical="center" wrapText="1"/>
    </xf>
    <xf numFmtId="0" fontId="24" fillId="26" borderId="17" xfId="0" applyFont="1" applyFill="1" applyBorder="1" applyAlignment="1">
      <alignment horizontal="center" vertical="center" wrapText="1"/>
    </xf>
    <xf numFmtId="0" fontId="24" fillId="26" borderId="10" xfId="0" applyFont="1" applyFill="1" applyBorder="1" applyAlignment="1">
      <alignment horizontal="center" vertical="center" wrapText="1"/>
    </xf>
    <xf numFmtId="1" fontId="2" fillId="0" borderId="10" xfId="0" applyNumberFormat="1" applyFont="1" applyBorder="1" applyAlignment="1">
      <alignment horizontal="center"/>
    </xf>
    <xf numFmtId="0" fontId="26" fillId="26" borderId="18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25" fillId="26" borderId="19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vertical="center"/>
    </xf>
    <xf numFmtId="0" fontId="3" fillId="0" borderId="10" xfId="0" applyFont="1" applyBorder="1" applyAlignment="1">
      <alignment horizontal="left" vertical="center" wrapText="1"/>
    </xf>
    <xf numFmtId="0" fontId="26" fillId="26" borderId="20" xfId="0" applyFont="1" applyFill="1" applyBorder="1" applyAlignment="1">
      <alignment horizontal="center" vertical="center" wrapText="1"/>
    </xf>
    <xf numFmtId="0" fontId="27" fillId="26" borderId="21" xfId="0" applyFont="1" applyFill="1" applyBorder="1" applyAlignment="1">
      <alignment horizontal="center" vertical="center" wrapText="1"/>
    </xf>
    <xf numFmtId="0" fontId="27" fillId="26" borderId="18" xfId="0" applyFont="1" applyFill="1" applyBorder="1" applyAlignment="1">
      <alignment horizontal="center" vertical="center" wrapText="1"/>
    </xf>
    <xf numFmtId="0" fontId="24" fillId="26" borderId="20" xfId="0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0" fontId="0" fillId="25" borderId="10" xfId="0" applyFill="1" applyBorder="1"/>
    <xf numFmtId="0" fontId="3" fillId="0" borderId="10" xfId="0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/>
    </xf>
    <xf numFmtId="1" fontId="31" fillId="0" borderId="10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0" fontId="3" fillId="28" borderId="0" xfId="0" applyFont="1" applyFill="1" applyAlignment="1">
      <alignment horizontal="center" vertical="center" wrapText="1"/>
    </xf>
    <xf numFmtId="0" fontId="3" fillId="32" borderId="0" xfId="0" applyFont="1" applyFill="1" applyAlignment="1">
      <alignment horizontal="center" vertical="center" wrapText="1"/>
    </xf>
    <xf numFmtId="0" fontId="39" fillId="0" borderId="0" xfId="0" applyFont="1"/>
    <xf numFmtId="44" fontId="0" fillId="0" borderId="0" xfId="47" applyFont="1"/>
    <xf numFmtId="14" fontId="2" fillId="0" borderId="0" xfId="0" applyNumberFormat="1" applyFont="1" applyAlignment="1">
      <alignment horizontal="center" vertical="center" wrapText="1"/>
    </xf>
    <xf numFmtId="0" fontId="2" fillId="25" borderId="10" xfId="0" applyFont="1" applyFill="1" applyBorder="1"/>
    <xf numFmtId="0" fontId="3" fillId="0" borderId="15" xfId="0" applyFont="1" applyBorder="1" applyAlignment="1">
      <alignment horizontal="left" vertical="center" wrapText="1"/>
    </xf>
    <xf numFmtId="2" fontId="0" fillId="28" borderId="0" xfId="0" applyNumberFormat="1" applyFill="1" applyAlignment="1">
      <alignment horizontal="center" vertical="center" wrapText="1"/>
    </xf>
    <xf numFmtId="0" fontId="2" fillId="28" borderId="0" xfId="0" applyFont="1" applyFill="1" applyAlignment="1">
      <alignment horizontal="center" vertical="center" wrapText="1"/>
    </xf>
    <xf numFmtId="0" fontId="34" fillId="0" borderId="0" xfId="0" applyFont="1"/>
    <xf numFmtId="0" fontId="34" fillId="0" borderId="10" xfId="0" applyFont="1" applyBorder="1" applyAlignment="1">
      <alignment horizontal="center" vertical="center"/>
    </xf>
    <xf numFmtId="0" fontId="2" fillId="32" borderId="10" xfId="0" applyFont="1" applyFill="1" applyBorder="1" applyAlignment="1">
      <alignment horizontal="center" vertical="center"/>
    </xf>
    <xf numFmtId="0" fontId="2" fillId="33" borderId="10" xfId="0" applyFont="1" applyFill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" fontId="4" fillId="0" borderId="10" xfId="0" applyNumberFormat="1" applyFont="1" applyBorder="1" applyAlignment="1">
      <alignment horizontal="center" vertical="center"/>
    </xf>
    <xf numFmtId="1" fontId="30" fillId="0" borderId="10" xfId="0" applyNumberFormat="1" applyFont="1" applyBorder="1" applyAlignment="1">
      <alignment vertical="center"/>
    </xf>
    <xf numFmtId="1" fontId="2" fillId="0" borderId="10" xfId="0" applyNumberFormat="1" applyFont="1" applyBorder="1" applyAlignment="1">
      <alignment vertical="center"/>
    </xf>
    <xf numFmtId="0" fontId="41" fillId="0" borderId="10" xfId="49" applyFill="1" applyBorder="1" applyAlignment="1">
      <alignment horizontal="center" vertical="center"/>
    </xf>
    <xf numFmtId="0" fontId="23" fillId="36" borderId="0" xfId="0" applyFont="1" applyFill="1" applyAlignment="1">
      <alignment horizontal="center" vertical="center" wrapText="1"/>
    </xf>
    <xf numFmtId="0" fontId="0" fillId="36" borderId="0" xfId="0" applyFill="1" applyAlignment="1">
      <alignment horizontal="center" vertical="center" wrapText="1"/>
    </xf>
    <xf numFmtId="0" fontId="0" fillId="36" borderId="0" xfId="0" applyFill="1" applyAlignment="1">
      <alignment horizontal="left" vertical="center" wrapText="1"/>
    </xf>
    <xf numFmtId="2" fontId="0" fillId="36" borderId="0" xfId="0" applyNumberFormat="1" applyFill="1" applyAlignment="1">
      <alignment horizontal="center" vertical="center" wrapText="1"/>
    </xf>
    <xf numFmtId="0" fontId="3" fillId="36" borderId="0" xfId="0" applyFont="1" applyFill="1" applyAlignment="1">
      <alignment horizontal="center" vertical="center" wrapText="1"/>
    </xf>
    <xf numFmtId="0" fontId="3" fillId="0" borderId="22" xfId="0" applyFont="1" applyBorder="1" applyAlignment="1">
      <alignment horizontal="left" vertical="center"/>
    </xf>
    <xf numFmtId="0" fontId="2" fillId="37" borderId="0" xfId="0" applyFont="1" applyFill="1" applyAlignment="1">
      <alignment horizontal="center" vertical="center" wrapText="1"/>
    </xf>
    <xf numFmtId="0" fontId="2" fillId="38" borderId="0" xfId="0" applyFont="1" applyFill="1" applyAlignment="1">
      <alignment horizontal="center" vertical="center" wrapText="1"/>
    </xf>
    <xf numFmtId="0" fontId="2" fillId="28" borderId="15" xfId="0" applyFont="1" applyFill="1" applyBorder="1" applyAlignment="1">
      <alignment horizontal="center" vertical="center" wrapText="1"/>
    </xf>
    <xf numFmtId="0" fontId="34" fillId="25" borderId="0" xfId="0" applyFont="1" applyFill="1" applyAlignment="1">
      <alignment horizontal="center" vertical="center" wrapText="1"/>
    </xf>
    <xf numFmtId="0" fontId="34" fillId="29" borderId="0" xfId="0" applyFont="1" applyFill="1" applyAlignment="1">
      <alignment horizontal="center" vertical="center" wrapText="1"/>
    </xf>
    <xf numFmtId="0" fontId="34" fillId="30" borderId="0" xfId="0" applyFont="1" applyFill="1" applyAlignment="1">
      <alignment horizontal="center" vertical="center" wrapText="1"/>
    </xf>
    <xf numFmtId="0" fontId="31" fillId="28" borderId="0" xfId="0" applyFont="1" applyFill="1" applyAlignment="1">
      <alignment horizontal="left" vertical="center" wrapText="1"/>
    </xf>
    <xf numFmtId="0" fontId="0" fillId="28" borderId="0" xfId="0" applyFill="1" applyAlignment="1">
      <alignment horizontal="center" vertical="center" wrapText="1"/>
    </xf>
    <xf numFmtId="0" fontId="3" fillId="0" borderId="22" xfId="0" applyFont="1" applyBorder="1" applyAlignment="1">
      <alignment vertical="center"/>
    </xf>
    <xf numFmtId="0" fontId="42" fillId="0" borderId="0" xfId="0" applyFont="1" applyAlignment="1">
      <alignment horizontal="left" vertical="center"/>
    </xf>
    <xf numFmtId="0" fontId="42" fillId="27" borderId="10" xfId="0" applyFont="1" applyFill="1" applyBorder="1" applyAlignment="1">
      <alignment horizontal="left" vertical="center"/>
    </xf>
    <xf numFmtId="0" fontId="42" fillId="0" borderId="0" xfId="0" applyFont="1" applyAlignment="1">
      <alignment vertical="center"/>
    </xf>
    <xf numFmtId="0" fontId="3" fillId="0" borderId="25" xfId="0" applyFont="1" applyBorder="1" applyAlignment="1">
      <alignment horizontal="left" vertical="center"/>
    </xf>
    <xf numFmtId="0" fontId="3" fillId="32" borderId="10" xfId="0" applyFont="1" applyFill="1" applyBorder="1" applyAlignment="1">
      <alignment horizontal="left" vertical="center" wrapText="1"/>
    </xf>
    <xf numFmtId="0" fontId="3" fillId="32" borderId="10" xfId="0" applyFont="1" applyFill="1" applyBorder="1" applyAlignment="1">
      <alignment horizontal="left" vertical="center"/>
    </xf>
    <xf numFmtId="0" fontId="42" fillId="0" borderId="0" xfId="0" applyFont="1" applyAlignment="1">
      <alignment horizontal="left" vertical="center" wrapText="1"/>
    </xf>
    <xf numFmtId="0" fontId="26" fillId="26" borderId="27" xfId="0" applyFont="1" applyFill="1" applyBorder="1" applyAlignment="1">
      <alignment horizontal="center" vertical="center" wrapText="1"/>
    </xf>
    <xf numFmtId="0" fontId="23" fillId="24" borderId="26" xfId="0" applyFont="1" applyFill="1" applyBorder="1" applyAlignment="1">
      <alignment horizontal="center"/>
    </xf>
    <xf numFmtId="0" fontId="29" fillId="26" borderId="21" xfId="0" applyFont="1" applyFill="1" applyBorder="1" applyAlignment="1">
      <alignment horizontal="center" vertical="center" textRotation="90" wrapText="1"/>
    </xf>
    <xf numFmtId="0" fontId="29" fillId="26" borderId="27" xfId="0" applyFont="1" applyFill="1" applyBorder="1" applyAlignment="1">
      <alignment horizontal="center" vertical="center" textRotation="90" wrapText="1"/>
    </xf>
    <xf numFmtId="0" fontId="29" fillId="25" borderId="27" xfId="0" applyFont="1" applyFill="1" applyBorder="1" applyAlignment="1">
      <alignment horizontal="center" vertical="center" textRotation="90" wrapText="1"/>
    </xf>
    <xf numFmtId="0" fontId="29" fillId="26" borderId="27" xfId="0" applyFont="1" applyFill="1" applyBorder="1" applyAlignment="1">
      <alignment horizontal="left" vertical="center" textRotation="90" wrapText="1"/>
    </xf>
    <xf numFmtId="0" fontId="0" fillId="0" borderId="0" xfId="0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3" fillId="32" borderId="10" xfId="0" applyFont="1" applyFill="1" applyBorder="1" applyAlignment="1">
      <alignment vertical="center"/>
    </xf>
    <xf numFmtId="43" fontId="30" fillId="0" borderId="10" xfId="30" applyFont="1" applyFill="1" applyBorder="1" applyAlignment="1">
      <alignment horizontal="center" vertical="center"/>
    </xf>
    <xf numFmtId="164" fontId="44" fillId="0" borderId="10" xfId="0" applyNumberFormat="1" applyFont="1" applyBorder="1" applyAlignment="1">
      <alignment horizontal="center"/>
    </xf>
    <xf numFmtId="0" fontId="34" fillId="0" borderId="0" xfId="0" applyFont="1" applyAlignment="1">
      <alignment horizontal="center" vertical="center" wrapText="1"/>
    </xf>
    <xf numFmtId="14" fontId="34" fillId="0" borderId="0" xfId="0" applyNumberFormat="1" applyFont="1" applyAlignment="1">
      <alignment horizontal="center" vertical="center" wrapText="1"/>
    </xf>
    <xf numFmtId="0" fontId="42" fillId="27" borderId="22" xfId="0" applyFont="1" applyFill="1" applyBorder="1" applyAlignment="1">
      <alignment horizontal="left" vertical="center"/>
    </xf>
    <xf numFmtId="0" fontId="46" fillId="32" borderId="0" xfId="0" applyFont="1" applyFill="1" applyAlignment="1">
      <alignment horizontal="center" vertical="center" wrapText="1"/>
    </xf>
    <xf numFmtId="0" fontId="46" fillId="33" borderId="0" xfId="0" applyFont="1" applyFill="1" applyAlignment="1">
      <alignment horizontal="center" vertical="center" wrapText="1"/>
    </xf>
    <xf numFmtId="0" fontId="46" fillId="31" borderId="0" xfId="0" applyFont="1" applyFill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6" fillId="25" borderId="0" xfId="0" applyFont="1" applyFill="1" applyAlignment="1">
      <alignment horizontal="center" vertical="center" wrapText="1"/>
    </xf>
    <xf numFmtId="0" fontId="46" fillId="29" borderId="0" xfId="0" applyFont="1" applyFill="1" applyAlignment="1">
      <alignment horizontal="center" vertical="center" wrapText="1"/>
    </xf>
    <xf numFmtId="0" fontId="46" fillId="30" borderId="0" xfId="0" applyFont="1" applyFill="1" applyAlignment="1">
      <alignment horizontal="center" vertical="center" wrapText="1"/>
    </xf>
    <xf numFmtId="14" fontId="34" fillId="36" borderId="0" xfId="0" applyNumberFormat="1" applyFont="1" applyFill="1" applyAlignment="1">
      <alignment horizontal="center" vertical="center" wrapText="1"/>
    </xf>
    <xf numFmtId="0" fontId="47" fillId="0" borderId="10" xfId="44" applyFont="1" applyBorder="1" applyAlignment="1">
      <alignment horizontal="left" vertical="center"/>
    </xf>
    <xf numFmtId="0" fontId="52" fillId="0" borderId="10" xfId="44" applyFont="1" applyBorder="1" applyAlignment="1">
      <alignment horizontal="center" vertical="center"/>
    </xf>
    <xf numFmtId="165" fontId="53" fillId="0" borderId="10" xfId="44" applyNumberFormat="1" applyFont="1" applyBorder="1" applyAlignment="1">
      <alignment horizontal="center" vertical="center"/>
    </xf>
    <xf numFmtId="165" fontId="54" fillId="0" borderId="10" xfId="44" applyNumberFormat="1" applyFont="1" applyBorder="1" applyAlignment="1">
      <alignment horizontal="center" vertical="center"/>
    </xf>
    <xf numFmtId="0" fontId="47" fillId="0" borderId="10" xfId="44" applyFont="1" applyBorder="1" applyAlignment="1">
      <alignment horizontal="center" vertical="center"/>
    </xf>
    <xf numFmtId="0" fontId="47" fillId="0" borderId="23" xfId="44" applyFont="1" applyBorder="1" applyAlignment="1">
      <alignment horizontal="left" vertical="center"/>
    </xf>
    <xf numFmtId="0" fontId="54" fillId="0" borderId="10" xfId="44" applyFont="1" applyBorder="1" applyAlignment="1">
      <alignment horizontal="center" vertical="center"/>
    </xf>
    <xf numFmtId="0" fontId="48" fillId="0" borderId="10" xfId="44" applyFont="1" applyBorder="1" applyAlignment="1">
      <alignment horizontal="center" vertical="center"/>
    </xf>
    <xf numFmtId="0" fontId="49" fillId="0" borderId="10" xfId="44" applyFont="1" applyBorder="1" applyAlignment="1">
      <alignment horizontal="center" vertical="center"/>
    </xf>
    <xf numFmtId="0" fontId="50" fillId="0" borderId="10" xfId="44" applyFont="1" applyBorder="1" applyAlignment="1">
      <alignment horizontal="center" vertical="center"/>
    </xf>
    <xf numFmtId="0" fontId="55" fillId="0" borderId="10" xfId="44" applyFont="1" applyBorder="1" applyAlignment="1">
      <alignment horizontal="center" vertical="center"/>
    </xf>
    <xf numFmtId="0" fontId="53" fillId="0" borderId="10" xfId="44" applyFont="1" applyBorder="1" applyAlignment="1">
      <alignment horizontal="center" vertical="center"/>
    </xf>
    <xf numFmtId="0" fontId="51" fillId="0" borderId="10" xfId="44" applyFont="1" applyBorder="1" applyAlignment="1">
      <alignment horizontal="left" vertical="center"/>
    </xf>
    <xf numFmtId="0" fontId="51" fillId="43" borderId="10" xfId="44" applyFont="1" applyFill="1" applyBorder="1" applyAlignment="1">
      <alignment horizontal="left" vertical="center"/>
    </xf>
    <xf numFmtId="165" fontId="49" fillId="0" borderId="10" xfId="44" applyNumberFormat="1" applyFont="1" applyBorder="1" applyAlignment="1">
      <alignment horizontal="center" vertical="center"/>
    </xf>
    <xf numFmtId="165" fontId="50" fillId="0" borderId="10" xfId="44" applyNumberFormat="1" applyFont="1" applyBorder="1" applyAlignment="1">
      <alignment horizontal="center" vertical="center"/>
    </xf>
    <xf numFmtId="165" fontId="52" fillId="0" borderId="10" xfId="44" applyNumberFormat="1" applyFont="1" applyBorder="1" applyAlignment="1">
      <alignment horizontal="center" vertical="center"/>
    </xf>
    <xf numFmtId="14" fontId="2" fillId="36" borderId="0" xfId="0" applyNumberFormat="1" applyFont="1" applyFill="1" applyAlignment="1">
      <alignment horizontal="center" vertical="center" wrapText="1"/>
    </xf>
    <xf numFmtId="14" fontId="34" fillId="0" borderId="15" xfId="0" applyNumberFormat="1" applyFont="1" applyBorder="1" applyAlignment="1">
      <alignment horizontal="center" vertical="center" wrapText="1"/>
    </xf>
    <xf numFmtId="165" fontId="55" fillId="0" borderId="10" xfId="44" applyNumberFormat="1" applyFont="1" applyBorder="1" applyAlignment="1">
      <alignment horizontal="center" vertical="center"/>
    </xf>
    <xf numFmtId="0" fontId="42" fillId="28" borderId="1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3" fillId="0" borderId="15" xfId="0" applyFont="1" applyBorder="1" applyAlignment="1">
      <alignment horizontal="left" vertical="center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26" borderId="19" xfId="0" applyFont="1" applyFill="1" applyBorder="1" applyAlignment="1" applyProtection="1">
      <alignment horizontal="center" vertical="center" wrapText="1"/>
      <protection locked="0"/>
    </xf>
    <xf numFmtId="0" fontId="26" fillId="26" borderId="18" xfId="0" applyFont="1" applyFill="1" applyBorder="1" applyAlignment="1" applyProtection="1">
      <alignment horizontal="center" vertical="center" wrapText="1"/>
      <protection locked="0"/>
    </xf>
    <xf numFmtId="0" fontId="26" fillId="26" borderId="9" xfId="0" applyFont="1" applyFill="1" applyBorder="1" applyAlignment="1" applyProtection="1">
      <alignment horizontal="center" vertical="center" wrapText="1"/>
      <protection locked="0"/>
    </xf>
    <xf numFmtId="0" fontId="27" fillId="26" borderId="13" xfId="0" applyFont="1" applyFill="1" applyBorder="1" applyAlignment="1" applyProtection="1">
      <alignment horizontal="center" vertical="center" wrapText="1"/>
      <protection locked="0"/>
    </xf>
    <xf numFmtId="0" fontId="27" fillId="26" borderId="12" xfId="0" applyFont="1" applyFill="1" applyBorder="1" applyAlignment="1" applyProtection="1">
      <alignment horizontal="center" vertical="center" wrapText="1"/>
      <protection locked="0"/>
    </xf>
    <xf numFmtId="0" fontId="24" fillId="26" borderId="17" xfId="0" applyFont="1" applyFill="1" applyBorder="1" applyAlignment="1" applyProtection="1">
      <alignment horizontal="center" vertical="center" wrapText="1"/>
      <protection locked="0"/>
    </xf>
    <xf numFmtId="0" fontId="24" fillId="26" borderId="10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" fillId="33" borderId="10" xfId="0" applyFont="1" applyFill="1" applyBorder="1" applyAlignment="1" applyProtection="1">
      <alignment horizontal="center" vertical="center"/>
      <protection locked="0"/>
    </xf>
    <xf numFmtId="49" fontId="28" fillId="33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34" fillId="0" borderId="10" xfId="0" applyFont="1" applyBorder="1" applyAlignment="1" applyProtection="1">
      <alignment horizontal="center" vertical="center"/>
      <protection locked="0"/>
    </xf>
    <xf numFmtId="43" fontId="30" fillId="0" borderId="10" xfId="30" applyFont="1" applyFill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2" fillId="32" borderId="10" xfId="0" applyFont="1" applyFill="1" applyBorder="1" applyAlignment="1" applyProtection="1">
      <alignment horizontal="center" vertical="center"/>
      <protection locked="0"/>
    </xf>
    <xf numFmtId="49" fontId="28" fillId="32" borderId="10" xfId="0" applyNumberFormat="1" applyFont="1" applyFill="1" applyBorder="1" applyAlignment="1" applyProtection="1">
      <alignment horizontal="center" vertical="center"/>
      <protection locked="0"/>
    </xf>
    <xf numFmtId="0" fontId="28" fillId="33" borderId="10" xfId="0" applyFont="1" applyFill="1" applyBorder="1" applyAlignment="1" applyProtection="1">
      <alignment horizontal="center" vertical="center"/>
      <protection locked="0"/>
    </xf>
    <xf numFmtId="3" fontId="28" fillId="32" borderId="10" xfId="0" applyNumberFormat="1" applyFont="1" applyFill="1" applyBorder="1" applyAlignment="1" applyProtection="1">
      <alignment horizontal="center" vertical="center"/>
      <protection locked="0"/>
    </xf>
    <xf numFmtId="14" fontId="2" fillId="0" borderId="15" xfId="0" applyNumberFormat="1" applyFont="1" applyBorder="1" applyAlignment="1">
      <alignment horizontal="center" vertical="center" wrapText="1"/>
    </xf>
    <xf numFmtId="43" fontId="4" fillId="33" borderId="10" xfId="30" applyFont="1" applyFill="1" applyBorder="1" applyAlignment="1">
      <alignment horizontal="center" vertical="center"/>
    </xf>
    <xf numFmtId="43" fontId="4" fillId="33" borderId="10" xfId="30" applyFont="1" applyFill="1" applyBorder="1" applyAlignment="1" applyProtection="1">
      <alignment horizontal="center" vertical="center"/>
      <protection locked="0"/>
    </xf>
    <xf numFmtId="0" fontId="2" fillId="38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2" fontId="0" fillId="29" borderId="0" xfId="0" applyNumberFormat="1" applyFill="1" applyAlignment="1">
      <alignment horizontal="center" vertical="center" wrapText="1"/>
    </xf>
    <xf numFmtId="0" fontId="31" fillId="29" borderId="0" xfId="0" applyFont="1" applyFill="1" applyAlignment="1">
      <alignment vertical="center"/>
    </xf>
    <xf numFmtId="0" fontId="42" fillId="0" borderId="15" xfId="0" applyFont="1" applyBorder="1" applyAlignment="1">
      <alignment horizontal="left" vertical="center"/>
    </xf>
    <xf numFmtId="0" fontId="2" fillId="37" borderId="15" xfId="0" applyFont="1" applyFill="1" applyBorder="1" applyAlignment="1">
      <alignment horizontal="center" vertical="center" wrapText="1"/>
    </xf>
    <xf numFmtId="0" fontId="22" fillId="23" borderId="17" xfId="0" applyFont="1" applyFill="1" applyBorder="1" applyAlignment="1">
      <alignment horizontal="center" vertical="center" wrapText="1"/>
    </xf>
    <xf numFmtId="0" fontId="58" fillId="23" borderId="9" xfId="0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166" fontId="59" fillId="0" borderId="0" xfId="0" applyNumberFormat="1" applyFont="1" applyAlignment="1">
      <alignment horizontal="center" vertical="center" wrapText="1"/>
    </xf>
    <xf numFmtId="166" fontId="35" fillId="0" borderId="0" xfId="0" applyNumberFormat="1" applyFont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166" fontId="59" fillId="0" borderId="15" xfId="0" applyNumberFormat="1" applyFont="1" applyBorder="1" applyAlignment="1">
      <alignment horizontal="center" vertical="center" wrapText="1"/>
    </xf>
    <xf numFmtId="166" fontId="35" fillId="0" borderId="1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31" borderId="0" xfId="0" applyFont="1" applyFill="1" applyAlignment="1">
      <alignment horizontal="center" vertical="center" wrapText="1"/>
    </xf>
    <xf numFmtId="0" fontId="31" fillId="29" borderId="15" xfId="0" applyFont="1" applyFill="1" applyBorder="1" applyAlignment="1">
      <alignment vertical="center"/>
    </xf>
    <xf numFmtId="0" fontId="0" fillId="29" borderId="15" xfId="0" applyFill="1" applyBorder="1" applyAlignment="1">
      <alignment horizontal="center" vertical="center" wrapText="1"/>
    </xf>
    <xf numFmtId="0" fontId="2" fillId="29" borderId="15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42" fillId="32" borderId="10" xfId="0" applyFont="1" applyFill="1" applyBorder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24" fillId="25" borderId="0" xfId="0" applyFont="1" applyFill="1" applyAlignment="1">
      <alignment horizontal="center"/>
    </xf>
    <xf numFmtId="0" fontId="2" fillId="0" borderId="0" xfId="0" applyFont="1" applyAlignment="1">
      <alignment horizontal="left" vertical="center"/>
    </xf>
    <xf numFmtId="0" fontId="43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center" vertical="center" wrapText="1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24" xfId="0" applyFont="1" applyBorder="1" applyAlignment="1">
      <alignment vertical="center"/>
    </xf>
    <xf numFmtId="0" fontId="0" fillId="0" borderId="24" xfId="0" applyBorder="1" applyAlignment="1">
      <alignment horizontal="center" vertical="center" wrapText="1"/>
    </xf>
    <xf numFmtId="2" fontId="0" fillId="0" borderId="24" xfId="0" applyNumberFormat="1" applyBorder="1" applyAlignment="1">
      <alignment horizontal="center" vertical="center" wrapText="1"/>
    </xf>
    <xf numFmtId="0" fontId="2" fillId="37" borderId="24" xfId="0" applyFont="1" applyFill="1" applyBorder="1" applyAlignment="1">
      <alignment horizontal="center" vertical="center" wrapText="1"/>
    </xf>
    <xf numFmtId="14" fontId="2" fillId="0" borderId="0" xfId="0" quotePrefix="1" applyNumberFormat="1" applyFont="1" applyAlignment="1">
      <alignment horizontal="center" vertical="center" wrapText="1"/>
    </xf>
    <xf numFmtId="0" fontId="34" fillId="37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2" fontId="60" fillId="0" borderId="0" xfId="0" applyNumberFormat="1" applyFont="1" applyAlignment="1">
      <alignment horizontal="center" vertical="center" wrapText="1"/>
    </xf>
    <xf numFmtId="0" fontId="35" fillId="0" borderId="0" xfId="0" applyFont="1" applyAlignment="1">
      <alignment vertical="center"/>
    </xf>
    <xf numFmtId="0" fontId="35" fillId="0" borderId="10" xfId="0" applyFont="1" applyBorder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1" fillId="29" borderId="0" xfId="0" applyFont="1" applyFill="1" applyAlignment="1">
      <alignment horizontal="center" vertical="center" wrapText="1"/>
    </xf>
    <xf numFmtId="2" fontId="31" fillId="29" borderId="0" xfId="0" applyNumberFormat="1" applyFont="1" applyFill="1" applyAlignment="1">
      <alignment horizontal="center" vertical="center" wrapText="1"/>
    </xf>
    <xf numFmtId="0" fontId="31" fillId="29" borderId="0" xfId="0" applyFont="1" applyFill="1" applyAlignment="1">
      <alignment horizontal="left" vertical="center" wrapText="1"/>
    </xf>
    <xf numFmtId="0" fontId="61" fillId="0" borderId="10" xfId="44" applyFont="1" applyBorder="1" applyAlignment="1">
      <alignment horizontal="center" vertical="center"/>
    </xf>
    <xf numFmtId="0" fontId="63" fillId="45" borderId="31" xfId="44" applyFont="1" applyFill="1" applyBorder="1" applyAlignment="1">
      <alignment horizontal="center" vertical="center"/>
    </xf>
    <xf numFmtId="0" fontId="61" fillId="0" borderId="0" xfId="44" applyFont="1" applyAlignment="1">
      <alignment horizontal="center" vertical="center"/>
    </xf>
    <xf numFmtId="1" fontId="61" fillId="34" borderId="10" xfId="45" applyNumberFormat="1" applyFont="1" applyFill="1" applyBorder="1" applyAlignment="1">
      <alignment horizontal="center" vertical="center" textRotation="90" wrapText="1" shrinkToFit="1"/>
    </xf>
    <xf numFmtId="0" fontId="64" fillId="34" borderId="10" xfId="45" applyFont="1" applyFill="1" applyBorder="1" applyAlignment="1">
      <alignment horizontal="center" vertical="center" wrapText="1"/>
    </xf>
    <xf numFmtId="1" fontId="65" fillId="34" borderId="10" xfId="45" applyNumberFormat="1" applyFont="1" applyFill="1" applyBorder="1" applyAlignment="1">
      <alignment horizontal="center" vertical="center" textRotation="90" wrapText="1" shrinkToFit="1"/>
    </xf>
    <xf numFmtId="1" fontId="66" fillId="34" borderId="10" xfId="45" applyNumberFormat="1" applyFont="1" applyFill="1" applyBorder="1" applyAlignment="1">
      <alignment horizontal="center" vertical="center" textRotation="90" wrapText="1" shrinkToFit="1"/>
    </xf>
    <xf numFmtId="1" fontId="67" fillId="34" borderId="10" xfId="45" applyNumberFormat="1" applyFont="1" applyFill="1" applyBorder="1" applyAlignment="1">
      <alignment horizontal="center" vertical="center" textRotation="90" wrapText="1" shrinkToFit="1"/>
    </xf>
    <xf numFmtId="0" fontId="68" fillId="34" borderId="10" xfId="45" applyFont="1" applyFill="1" applyBorder="1" applyAlignment="1">
      <alignment horizontal="center" vertical="center" wrapText="1"/>
    </xf>
    <xf numFmtId="49" fontId="64" fillId="34" borderId="10" xfId="45" applyNumberFormat="1" applyFont="1" applyFill="1" applyBorder="1" applyAlignment="1">
      <alignment horizontal="center" vertical="center" shrinkToFit="1"/>
    </xf>
    <xf numFmtId="49" fontId="64" fillId="34" borderId="10" xfId="45" applyNumberFormat="1" applyFont="1" applyFill="1" applyBorder="1" applyAlignment="1">
      <alignment horizontal="center" vertical="center" wrapText="1" shrinkToFit="1"/>
    </xf>
    <xf numFmtId="0" fontId="69" fillId="0" borderId="10" xfId="44" applyFont="1" applyBorder="1" applyAlignment="1">
      <alignment horizontal="center" vertical="center" wrapText="1"/>
    </xf>
    <xf numFmtId="49" fontId="61" fillId="34" borderId="10" xfId="45" applyNumberFormat="1" applyFont="1" applyFill="1" applyBorder="1" applyAlignment="1">
      <alignment horizontal="center" vertical="center" textRotation="90" shrinkToFit="1"/>
    </xf>
    <xf numFmtId="8" fontId="64" fillId="34" borderId="10" xfId="45" applyNumberFormat="1" applyFont="1" applyFill="1" applyBorder="1" applyAlignment="1">
      <alignment horizontal="center" vertical="center" textRotation="90" shrinkToFit="1"/>
    </xf>
    <xf numFmtId="49" fontId="64" fillId="34" borderId="10" xfId="45" applyNumberFormat="1" applyFont="1" applyFill="1" applyBorder="1" applyAlignment="1">
      <alignment horizontal="center" vertical="center" textRotation="90" shrinkToFit="1"/>
    </xf>
    <xf numFmtId="165" fontId="64" fillId="34" borderId="10" xfId="45" applyNumberFormat="1" applyFont="1" applyFill="1" applyBorder="1" applyAlignment="1">
      <alignment horizontal="center" vertical="center" textRotation="90" shrinkToFit="1"/>
    </xf>
    <xf numFmtId="165" fontId="61" fillId="34" borderId="10" xfId="45" applyNumberFormat="1" applyFont="1" applyFill="1" applyBorder="1" applyAlignment="1">
      <alignment horizontal="center" vertical="center" textRotation="90" shrinkToFit="1"/>
    </xf>
    <xf numFmtId="165" fontId="64" fillId="34" borderId="10" xfId="45" applyNumberFormat="1" applyFont="1" applyFill="1" applyBorder="1" applyAlignment="1">
      <alignment horizontal="center" vertical="center" textRotation="90"/>
    </xf>
    <xf numFmtId="49" fontId="61" fillId="34" borderId="10" xfId="45" applyNumberFormat="1" applyFont="1" applyFill="1" applyBorder="1" applyAlignment="1">
      <alignment horizontal="center" vertical="center" textRotation="90" wrapText="1" shrinkToFit="1"/>
    </xf>
    <xf numFmtId="0" fontId="61" fillId="34" borderId="10" xfId="44" applyFont="1" applyFill="1" applyBorder="1" applyAlignment="1">
      <alignment horizontal="center" vertical="center"/>
    </xf>
    <xf numFmtId="14" fontId="61" fillId="0" borderId="10" xfId="45" applyNumberFormat="1" applyFont="1" applyBorder="1" applyAlignment="1">
      <alignment horizontal="center" vertical="center" wrapText="1"/>
    </xf>
    <xf numFmtId="0" fontId="70" fillId="0" borderId="10" xfId="44" applyFont="1" applyBorder="1" applyAlignment="1">
      <alignment horizontal="center" vertical="center"/>
    </xf>
    <xf numFmtId="0" fontId="64" fillId="0" borderId="10" xfId="44" applyFont="1" applyBorder="1" applyAlignment="1">
      <alignment horizontal="center" vertical="center"/>
    </xf>
    <xf numFmtId="49" fontId="61" fillId="0" borderId="10" xfId="44" applyNumberFormat="1" applyFont="1" applyBorder="1" applyAlignment="1">
      <alignment horizontal="center" vertical="center"/>
    </xf>
    <xf numFmtId="0" fontId="61" fillId="45" borderId="10" xfId="44" applyFont="1" applyFill="1" applyBorder="1" applyAlignment="1">
      <alignment horizontal="center" vertical="center"/>
    </xf>
    <xf numFmtId="14" fontId="61" fillId="45" borderId="10" xfId="45" applyNumberFormat="1" applyFont="1" applyFill="1" applyBorder="1" applyAlignment="1">
      <alignment horizontal="center" vertical="center" wrapText="1"/>
    </xf>
    <xf numFmtId="0" fontId="71" fillId="46" borderId="10" xfId="44" applyFont="1" applyFill="1" applyBorder="1" applyAlignment="1">
      <alignment horizontal="left" vertical="center"/>
    </xf>
    <xf numFmtId="14" fontId="70" fillId="0" borderId="10" xfId="44" applyNumberFormat="1" applyFont="1" applyBorder="1" applyAlignment="1">
      <alignment horizontal="center" vertical="center"/>
    </xf>
    <xf numFmtId="0" fontId="47" fillId="40" borderId="10" xfId="44" applyFont="1" applyFill="1" applyBorder="1" applyAlignment="1">
      <alignment horizontal="left" vertical="center"/>
    </xf>
    <xf numFmtId="0" fontId="47" fillId="43" borderId="10" xfId="44" applyFont="1" applyFill="1" applyBorder="1" applyAlignment="1">
      <alignment horizontal="left" vertical="center"/>
    </xf>
    <xf numFmtId="0" fontId="47" fillId="25" borderId="10" xfId="44" applyFont="1" applyFill="1" applyBorder="1" applyAlignment="1">
      <alignment horizontal="left" vertical="center"/>
    </xf>
    <xf numFmtId="0" fontId="47" fillId="42" borderId="10" xfId="44" applyFont="1" applyFill="1" applyBorder="1" applyAlignment="1">
      <alignment horizontal="left" vertical="center"/>
    </xf>
    <xf numFmtId="0" fontId="72" fillId="0" borderId="10" xfId="44" applyFont="1" applyBorder="1" applyAlignment="1">
      <alignment horizontal="center" vertical="center"/>
    </xf>
    <xf numFmtId="0" fontId="47" fillId="47" borderId="10" xfId="44" applyFont="1" applyFill="1" applyBorder="1" applyAlignment="1">
      <alignment horizontal="left" vertical="center"/>
    </xf>
    <xf numFmtId="0" fontId="73" fillId="0" borderId="10" xfId="44" applyFont="1" applyBorder="1" applyAlignment="1">
      <alignment horizontal="center" vertical="center"/>
    </xf>
    <xf numFmtId="0" fontId="47" fillId="48" borderId="10" xfId="44" applyFont="1" applyFill="1" applyBorder="1" applyAlignment="1">
      <alignment horizontal="left" vertical="center"/>
    </xf>
    <xf numFmtId="0" fontId="74" fillId="0" borderId="10" xfId="44" applyFont="1" applyBorder="1" applyAlignment="1">
      <alignment horizontal="center" vertical="center"/>
    </xf>
    <xf numFmtId="0" fontId="47" fillId="37" borderId="10" xfId="44" applyFont="1" applyFill="1" applyBorder="1" applyAlignment="1">
      <alignment horizontal="left" vertical="center"/>
    </xf>
    <xf numFmtId="0" fontId="64" fillId="37" borderId="10" xfId="44" applyFont="1" applyFill="1" applyBorder="1" applyAlignment="1">
      <alignment horizontal="center" vertical="center"/>
    </xf>
    <xf numFmtId="0" fontId="74" fillId="37" borderId="10" xfId="44" applyFont="1" applyFill="1" applyBorder="1" applyAlignment="1">
      <alignment horizontal="center" vertical="center"/>
    </xf>
    <xf numFmtId="0" fontId="61" fillId="37" borderId="10" xfId="44" applyFont="1" applyFill="1" applyBorder="1" applyAlignment="1">
      <alignment horizontal="center" vertical="center"/>
    </xf>
    <xf numFmtId="49" fontId="61" fillId="37" borderId="10" xfId="44" applyNumberFormat="1" applyFont="1" applyFill="1" applyBorder="1" applyAlignment="1">
      <alignment horizontal="center" vertical="center"/>
    </xf>
    <xf numFmtId="0" fontId="74" fillId="0" borderId="10" xfId="44" applyFont="1" applyBorder="1" applyAlignment="1">
      <alignment horizontal="center" wrapText="1"/>
    </xf>
    <xf numFmtId="0" fontId="48" fillId="0" borderId="23" xfId="44" applyFont="1" applyBorder="1" applyAlignment="1">
      <alignment horizontal="center" vertical="center"/>
    </xf>
    <xf numFmtId="0" fontId="49" fillId="0" borderId="24" xfId="44" applyFont="1" applyBorder="1" applyAlignment="1">
      <alignment horizontal="center" vertical="center"/>
    </xf>
    <xf numFmtId="0" fontId="50" fillId="0" borderId="24" xfId="44" applyFont="1" applyBorder="1" applyAlignment="1">
      <alignment horizontal="center" vertical="center"/>
    </xf>
    <xf numFmtId="14" fontId="70" fillId="0" borderId="24" xfId="44" applyNumberFormat="1" applyFont="1" applyBorder="1" applyAlignment="1">
      <alignment horizontal="center" vertical="center"/>
    </xf>
    <xf numFmtId="165" fontId="47" fillId="0" borderId="24" xfId="44" applyNumberFormat="1" applyFont="1" applyBorder="1" applyAlignment="1">
      <alignment horizontal="left" vertical="center"/>
    </xf>
    <xf numFmtId="0" fontId="64" fillId="0" borderId="24" xfId="44" applyFont="1" applyBorder="1" applyAlignment="1">
      <alignment horizontal="center" vertical="center"/>
    </xf>
    <xf numFmtId="0" fontId="74" fillId="0" borderId="24" xfId="44" applyFont="1" applyBorder="1" applyAlignment="1">
      <alignment horizontal="center" vertical="center"/>
    </xf>
    <xf numFmtId="0" fontId="61" fillId="0" borderId="24" xfId="44" applyFont="1" applyBorder="1" applyAlignment="1">
      <alignment horizontal="center" vertical="center"/>
    </xf>
    <xf numFmtId="49" fontId="61" fillId="0" borderId="22" xfId="44" applyNumberFormat="1" applyFont="1" applyBorder="1" applyAlignment="1">
      <alignment horizontal="center" vertical="center"/>
    </xf>
    <xf numFmtId="0" fontId="75" fillId="0" borderId="10" xfId="44" applyFont="1" applyBorder="1" applyAlignment="1">
      <alignment horizontal="center" vertical="center"/>
    </xf>
    <xf numFmtId="165" fontId="1" fillId="30" borderId="10" xfId="44" applyNumberFormat="1" applyFont="1" applyFill="1" applyBorder="1" applyAlignment="1">
      <alignment horizontal="left" vertical="center"/>
    </xf>
    <xf numFmtId="0" fontId="47" fillId="35" borderId="10" xfId="44" applyFont="1" applyFill="1" applyBorder="1" applyAlignment="1">
      <alignment horizontal="left" vertical="center"/>
    </xf>
    <xf numFmtId="0" fontId="76" fillId="0" borderId="10" xfId="44" applyFont="1" applyBorder="1" applyAlignment="1">
      <alignment horizontal="center" vertical="center"/>
    </xf>
    <xf numFmtId="14" fontId="76" fillId="0" borderId="10" xfId="45" applyNumberFormat="1" applyFont="1" applyBorder="1" applyAlignment="1">
      <alignment horizontal="center" vertical="center" wrapText="1"/>
    </xf>
    <xf numFmtId="0" fontId="77" fillId="0" borderId="10" xfId="44" applyFont="1" applyBorder="1" applyAlignment="1">
      <alignment horizontal="center" vertical="center"/>
    </xf>
    <xf numFmtId="165" fontId="77" fillId="0" borderId="10" xfId="44" applyNumberFormat="1" applyFont="1" applyBorder="1" applyAlignment="1">
      <alignment horizontal="center" vertical="center"/>
    </xf>
    <xf numFmtId="14" fontId="76" fillId="0" borderId="10" xfId="44" applyNumberFormat="1" applyFont="1" applyBorder="1" applyAlignment="1">
      <alignment horizontal="center" vertical="center"/>
    </xf>
    <xf numFmtId="165" fontId="77" fillId="0" borderId="10" xfId="44" applyNumberFormat="1" applyFont="1" applyBorder="1" applyAlignment="1">
      <alignment horizontal="left" vertical="center"/>
    </xf>
    <xf numFmtId="0" fontId="78" fillId="0" borderId="10" xfId="44" applyFont="1" applyBorder="1" applyAlignment="1">
      <alignment horizontal="center" vertical="center"/>
    </xf>
    <xf numFmtId="0" fontId="79" fillId="0" borderId="10" xfId="44" applyFont="1" applyBorder="1" applyAlignment="1">
      <alignment horizontal="center" vertical="center"/>
    </xf>
    <xf numFmtId="49" fontId="76" fillId="0" borderId="10" xfId="44" applyNumberFormat="1" applyFont="1" applyBorder="1" applyAlignment="1">
      <alignment horizontal="center" vertical="center"/>
    </xf>
    <xf numFmtId="0" fontId="76" fillId="0" borderId="0" xfId="44" applyFont="1" applyAlignment="1">
      <alignment horizontal="center" vertical="center"/>
    </xf>
    <xf numFmtId="165" fontId="47" fillId="0" borderId="10" xfId="44" applyNumberFormat="1" applyFont="1" applyBorder="1" applyAlignment="1">
      <alignment horizontal="left" vertical="center"/>
    </xf>
    <xf numFmtId="0" fontId="47" fillId="39" borderId="10" xfId="44" applyFont="1" applyFill="1" applyBorder="1" applyAlignment="1">
      <alignment horizontal="left" vertical="center" wrapText="1"/>
    </xf>
    <xf numFmtId="0" fontId="47" fillId="39" borderId="10" xfId="44" applyFont="1" applyFill="1" applyBorder="1" applyAlignment="1">
      <alignment horizontal="left" vertical="center"/>
    </xf>
    <xf numFmtId="0" fontId="64" fillId="47" borderId="10" xfId="44" applyFont="1" applyFill="1" applyBorder="1" applyAlignment="1">
      <alignment horizontal="center" vertical="center"/>
    </xf>
    <xf numFmtId="0" fontId="75" fillId="47" borderId="10" xfId="44" applyFont="1" applyFill="1" applyBorder="1" applyAlignment="1">
      <alignment horizontal="center" vertical="center"/>
    </xf>
    <xf numFmtId="0" fontId="61" fillId="47" borderId="10" xfId="44" applyFont="1" applyFill="1" applyBorder="1" applyAlignment="1">
      <alignment horizontal="center" vertical="center"/>
    </xf>
    <xf numFmtId="49" fontId="61" fillId="47" borderId="10" xfId="44" applyNumberFormat="1" applyFont="1" applyFill="1" applyBorder="1" applyAlignment="1">
      <alignment horizontal="center" vertical="center"/>
    </xf>
    <xf numFmtId="0" fontId="47" fillId="44" borderId="10" xfId="44" applyFont="1" applyFill="1" applyBorder="1" applyAlignment="1">
      <alignment horizontal="left" vertical="center"/>
    </xf>
    <xf numFmtId="14" fontId="61" fillId="0" borderId="16" xfId="45" applyNumberFormat="1" applyFont="1" applyBorder="1" applyAlignment="1">
      <alignment horizontal="center" vertical="center" wrapText="1"/>
    </xf>
    <xf numFmtId="165" fontId="47" fillId="29" borderId="10" xfId="44" applyNumberFormat="1" applyFont="1" applyFill="1" applyBorder="1" applyAlignment="1">
      <alignment horizontal="left" vertical="center"/>
    </xf>
    <xf numFmtId="0" fontId="64" fillId="29" borderId="10" xfId="44" applyFont="1" applyFill="1" applyBorder="1" applyAlignment="1">
      <alignment horizontal="center" vertical="center"/>
    </xf>
    <xf numFmtId="0" fontId="75" fillId="29" borderId="10" xfId="44" applyFont="1" applyFill="1" applyBorder="1" applyAlignment="1">
      <alignment horizontal="center" vertical="center"/>
    </xf>
    <xf numFmtId="0" fontId="61" fillId="29" borderId="10" xfId="44" applyFont="1" applyFill="1" applyBorder="1" applyAlignment="1">
      <alignment horizontal="center" vertical="center"/>
    </xf>
    <xf numFmtId="49" fontId="61" fillId="29" borderId="10" xfId="44" applyNumberFormat="1" applyFont="1" applyFill="1" applyBorder="1" applyAlignment="1">
      <alignment horizontal="center" vertical="center"/>
    </xf>
    <xf numFmtId="0" fontId="71" fillId="0" borderId="10" xfId="44" applyFont="1" applyBorder="1" applyAlignment="1">
      <alignment horizontal="left" vertical="center"/>
    </xf>
    <xf numFmtId="0" fontId="47" fillId="41" borderId="10" xfId="44" applyFont="1" applyFill="1" applyBorder="1" applyAlignment="1">
      <alignment horizontal="left" vertical="center"/>
    </xf>
    <xf numFmtId="165" fontId="1" fillId="0" borderId="10" xfId="44" applyNumberFormat="1" applyFont="1" applyBorder="1" applyAlignment="1">
      <alignment horizontal="left" vertical="center"/>
    </xf>
    <xf numFmtId="165" fontId="1" fillId="48" borderId="10" xfId="44" applyNumberFormat="1" applyFont="1" applyFill="1" applyBorder="1" applyAlignment="1">
      <alignment horizontal="left" vertical="center"/>
    </xf>
    <xf numFmtId="14" fontId="61" fillId="47" borderId="10" xfId="45" applyNumberFormat="1" applyFont="1" applyFill="1" applyBorder="1" applyAlignment="1">
      <alignment horizontal="center" vertical="center" wrapText="1"/>
    </xf>
    <xf numFmtId="0" fontId="52" fillId="47" borderId="10" xfId="44" applyFont="1" applyFill="1" applyBorder="1" applyAlignment="1">
      <alignment horizontal="center" vertical="center"/>
    </xf>
    <xf numFmtId="165" fontId="53" fillId="47" borderId="10" xfId="44" applyNumberFormat="1" applyFont="1" applyFill="1" applyBorder="1" applyAlignment="1">
      <alignment horizontal="center" vertical="center"/>
    </xf>
    <xf numFmtId="165" fontId="54" fillId="47" borderId="10" xfId="44" applyNumberFormat="1" applyFont="1" applyFill="1" applyBorder="1" applyAlignment="1">
      <alignment horizontal="center" vertical="center"/>
    </xf>
    <xf numFmtId="0" fontId="70" fillId="47" borderId="10" xfId="44" applyFont="1" applyFill="1" applyBorder="1" applyAlignment="1">
      <alignment horizontal="center" vertical="center"/>
    </xf>
    <xf numFmtId="165" fontId="1" fillId="47" borderId="10" xfId="44" applyNumberFormat="1" applyFont="1" applyFill="1" applyBorder="1" applyAlignment="1">
      <alignment horizontal="left" vertical="center"/>
    </xf>
    <xf numFmtId="0" fontId="74" fillId="47" borderId="10" xfId="44" applyFont="1" applyFill="1" applyBorder="1" applyAlignment="1">
      <alignment horizontal="center" wrapText="1"/>
    </xf>
    <xf numFmtId="0" fontId="61" fillId="47" borderId="0" xfId="44" applyFont="1" applyFill="1" applyAlignment="1">
      <alignment horizontal="center" vertical="center"/>
    </xf>
    <xf numFmtId="14" fontId="61" fillId="47" borderId="16" xfId="45" applyNumberFormat="1" applyFont="1" applyFill="1" applyBorder="1" applyAlignment="1">
      <alignment horizontal="center" vertical="center" wrapText="1"/>
    </xf>
    <xf numFmtId="0" fontId="52" fillId="47" borderId="16" xfId="44" applyFont="1" applyFill="1" applyBorder="1" applyAlignment="1">
      <alignment horizontal="center" vertical="center"/>
    </xf>
    <xf numFmtId="165" fontId="53" fillId="47" borderId="16" xfId="44" applyNumberFormat="1" applyFont="1" applyFill="1" applyBorder="1" applyAlignment="1">
      <alignment horizontal="center" vertical="center"/>
    </xf>
    <xf numFmtId="0" fontId="54" fillId="47" borderId="16" xfId="44" applyFont="1" applyFill="1" applyBorder="1" applyAlignment="1">
      <alignment horizontal="center" vertical="center"/>
    </xf>
    <xf numFmtId="14" fontId="70" fillId="47" borderId="10" xfId="44" applyNumberFormat="1" applyFont="1" applyFill="1" applyBorder="1" applyAlignment="1">
      <alignment horizontal="center" vertical="center"/>
    </xf>
    <xf numFmtId="0" fontId="52" fillId="0" borderId="16" xfId="44" applyFont="1" applyBorder="1" applyAlignment="1">
      <alignment horizontal="center" vertical="center"/>
    </xf>
    <xf numFmtId="165" fontId="53" fillId="0" borderId="16" xfId="44" applyNumberFormat="1" applyFont="1" applyBorder="1" applyAlignment="1">
      <alignment horizontal="center" vertical="center"/>
    </xf>
    <xf numFmtId="0" fontId="54" fillId="0" borderId="16" xfId="44" applyFont="1" applyBorder="1" applyAlignment="1">
      <alignment horizontal="center" vertical="center"/>
    </xf>
    <xf numFmtId="165" fontId="52" fillId="0" borderId="23" xfId="44" applyNumberFormat="1" applyFont="1" applyBorder="1" applyAlignment="1">
      <alignment horizontal="center" vertical="center"/>
    </xf>
    <xf numFmtId="165" fontId="53" fillId="0" borderId="24" xfId="44" applyNumberFormat="1" applyFont="1" applyBorder="1" applyAlignment="1">
      <alignment horizontal="center" vertical="center"/>
    </xf>
    <xf numFmtId="165" fontId="54" fillId="0" borderId="24" xfId="44" applyNumberFormat="1" applyFont="1" applyBorder="1" applyAlignment="1">
      <alignment horizontal="center" vertical="center"/>
    </xf>
    <xf numFmtId="0" fontId="47" fillId="0" borderId="24" xfId="44" applyFont="1" applyBorder="1" applyAlignment="1">
      <alignment horizontal="left" vertical="center"/>
    </xf>
    <xf numFmtId="0" fontId="75" fillId="0" borderId="24" xfId="44" applyFont="1" applyBorder="1" applyAlignment="1">
      <alignment horizontal="center" vertical="center"/>
    </xf>
    <xf numFmtId="165" fontId="1" fillId="0" borderId="23" xfId="44" applyNumberFormat="1" applyFont="1" applyBorder="1" applyAlignment="1">
      <alignment horizontal="left" vertical="center"/>
    </xf>
    <xf numFmtId="14" fontId="70" fillId="0" borderId="10" xfId="45" applyNumberFormat="1" applyFont="1" applyBorder="1" applyAlignment="1">
      <alignment horizontal="center" vertical="center" wrapText="1"/>
    </xf>
    <xf numFmtId="0" fontId="47" fillId="41" borderId="23" xfId="44" applyFont="1" applyFill="1" applyBorder="1" applyAlignment="1">
      <alignment horizontal="left" vertical="center"/>
    </xf>
    <xf numFmtId="165" fontId="47" fillId="0" borderId="23" xfId="44" applyNumberFormat="1" applyFont="1" applyBorder="1" applyAlignment="1">
      <alignment horizontal="left" vertical="center"/>
    </xf>
    <xf numFmtId="165" fontId="1" fillId="30" borderId="23" xfId="44" applyNumberFormat="1" applyFont="1" applyFill="1" applyBorder="1" applyAlignment="1">
      <alignment horizontal="left" vertical="center"/>
    </xf>
    <xf numFmtId="165" fontId="55" fillId="0" borderId="23" xfId="44" applyNumberFormat="1" applyFont="1" applyBorder="1" applyAlignment="1">
      <alignment horizontal="center" vertical="center"/>
    </xf>
    <xf numFmtId="14" fontId="61" fillId="0" borderId="0" xfId="45" applyNumberFormat="1" applyFont="1" applyAlignment="1">
      <alignment horizontal="center" vertical="center" wrapText="1"/>
    </xf>
    <xf numFmtId="0" fontId="84" fillId="0" borderId="0" xfId="44" applyFont="1" applyAlignment="1">
      <alignment horizontal="center" vertical="center"/>
    </xf>
    <xf numFmtId="0" fontId="85" fillId="0" borderId="0" xfId="44" applyFont="1" applyAlignment="1">
      <alignment horizontal="center" vertical="center"/>
    </xf>
    <xf numFmtId="0" fontId="86" fillId="0" borderId="0" xfId="44" applyFont="1" applyAlignment="1">
      <alignment horizontal="center" vertical="center"/>
    </xf>
    <xf numFmtId="0" fontId="70" fillId="0" borderId="0" xfId="44" applyFont="1" applyAlignment="1">
      <alignment horizontal="center" vertical="center"/>
    </xf>
    <xf numFmtId="0" fontId="64" fillId="0" borderId="0" xfId="44" applyFont="1" applyAlignment="1">
      <alignment horizontal="center" vertical="center"/>
    </xf>
    <xf numFmtId="0" fontId="80" fillId="0" borderId="0" xfId="44" applyFont="1" applyAlignment="1">
      <alignment horizontal="center" vertical="center"/>
    </xf>
    <xf numFmtId="49" fontId="61" fillId="0" borderId="0" xfId="44" applyNumberFormat="1" applyFont="1" applyAlignment="1">
      <alignment horizontal="center" vertical="center"/>
    </xf>
    <xf numFmtId="0" fontId="71" fillId="49" borderId="10" xfId="44" applyFont="1" applyFill="1" applyBorder="1" applyAlignment="1">
      <alignment horizontal="left" vertical="center"/>
    </xf>
    <xf numFmtId="165" fontId="47" fillId="43" borderId="10" xfId="44" applyNumberFormat="1" applyFont="1" applyFill="1" applyBorder="1" applyAlignment="1">
      <alignment horizontal="left" vertical="center"/>
    </xf>
    <xf numFmtId="0" fontId="64" fillId="43" borderId="10" xfId="44" applyFont="1" applyFill="1" applyBorder="1" applyAlignment="1">
      <alignment horizontal="left" vertical="center"/>
    </xf>
    <xf numFmtId="0" fontId="61" fillId="43" borderId="10" xfId="44" applyFont="1" applyFill="1" applyBorder="1" applyAlignment="1">
      <alignment horizontal="center" vertical="center"/>
    </xf>
    <xf numFmtId="49" fontId="61" fillId="43" borderId="10" xfId="44" applyNumberFormat="1" applyFont="1" applyFill="1" applyBorder="1" applyAlignment="1">
      <alignment horizontal="center" vertical="center"/>
    </xf>
    <xf numFmtId="0" fontId="41" fillId="43" borderId="10" xfId="49" applyFill="1" applyBorder="1" applyAlignment="1">
      <alignment horizontal="center" vertical="center"/>
    </xf>
    <xf numFmtId="0" fontId="47" fillId="30" borderId="10" xfId="44" applyFont="1" applyFill="1" applyBorder="1" applyAlignment="1">
      <alignment horizontal="left" vertical="center"/>
    </xf>
    <xf numFmtId="0" fontId="64" fillId="30" borderId="10" xfId="44" applyFont="1" applyFill="1" applyBorder="1" applyAlignment="1">
      <alignment horizontal="center" vertical="center"/>
    </xf>
    <xf numFmtId="0" fontId="47" fillId="30" borderId="10" xfId="44" applyFont="1" applyFill="1" applyBorder="1" applyAlignment="1">
      <alignment horizontal="center" vertical="center"/>
    </xf>
    <xf numFmtId="0" fontId="61" fillId="30" borderId="10" xfId="44" applyFont="1" applyFill="1" applyBorder="1" applyAlignment="1">
      <alignment horizontal="center" vertical="center"/>
    </xf>
    <xf numFmtId="49" fontId="61" fillId="30" borderId="10" xfId="44" applyNumberFormat="1" applyFont="1" applyFill="1" applyBorder="1" applyAlignment="1">
      <alignment horizontal="center" vertical="center"/>
    </xf>
    <xf numFmtId="0" fontId="41" fillId="30" borderId="10" xfId="49" applyFill="1" applyBorder="1" applyAlignment="1">
      <alignment horizontal="center" vertical="center"/>
    </xf>
    <xf numFmtId="0" fontId="64" fillId="43" borderId="10" xfId="44" applyFont="1" applyFill="1" applyBorder="1" applyAlignment="1">
      <alignment horizontal="center" vertical="center"/>
    </xf>
    <xf numFmtId="0" fontId="47" fillId="43" borderId="10" xfId="44" applyFont="1" applyFill="1" applyBorder="1" applyAlignment="1">
      <alignment horizontal="center" vertical="center"/>
    </xf>
    <xf numFmtId="165" fontId="47" fillId="49" borderId="10" xfId="44" applyNumberFormat="1" applyFont="1" applyFill="1" applyBorder="1" applyAlignment="1">
      <alignment horizontal="left" vertical="center"/>
    </xf>
    <xf numFmtId="0" fontId="64" fillId="49" borderId="10" xfId="44" applyFont="1" applyFill="1" applyBorder="1" applyAlignment="1">
      <alignment horizontal="center" vertical="center"/>
    </xf>
    <xf numFmtId="0" fontId="74" fillId="49" borderId="10" xfId="44" applyFont="1" applyFill="1" applyBorder="1" applyAlignment="1">
      <alignment horizontal="center" vertical="center"/>
    </xf>
    <xf numFmtId="0" fontId="61" fillId="49" borderId="10" xfId="44" applyFont="1" applyFill="1" applyBorder="1" applyAlignment="1">
      <alignment horizontal="center" vertical="center"/>
    </xf>
    <xf numFmtId="49" fontId="61" fillId="49" borderId="10" xfId="44" applyNumberFormat="1" applyFont="1" applyFill="1" applyBorder="1" applyAlignment="1">
      <alignment horizontal="center" vertical="center"/>
    </xf>
    <xf numFmtId="0" fontId="41" fillId="49" borderId="10" xfId="49" applyFill="1" applyBorder="1" applyAlignment="1">
      <alignment horizontal="center" vertical="center"/>
    </xf>
    <xf numFmtId="0" fontId="51" fillId="49" borderId="10" xfId="44" applyFont="1" applyFill="1" applyBorder="1" applyAlignment="1">
      <alignment horizontal="left" vertical="center"/>
    </xf>
    <xf numFmtId="0" fontId="74" fillId="43" borderId="10" xfId="44" applyFont="1" applyFill="1" applyBorder="1" applyAlignment="1">
      <alignment horizontal="center" vertical="center"/>
    </xf>
    <xf numFmtId="0" fontId="75" fillId="43" borderId="10" xfId="44" applyFont="1" applyFill="1" applyBorder="1" applyAlignment="1">
      <alignment horizontal="center" vertical="center"/>
    </xf>
    <xf numFmtId="165" fontId="47" fillId="30" borderId="10" xfId="44" applyNumberFormat="1" applyFont="1" applyFill="1" applyBorder="1" applyAlignment="1">
      <alignment horizontal="left" vertical="center"/>
    </xf>
    <xf numFmtId="0" fontId="75" fillId="30" borderId="10" xfId="44" applyFont="1" applyFill="1" applyBorder="1" applyAlignment="1">
      <alignment horizontal="center" vertical="center"/>
    </xf>
    <xf numFmtId="0" fontId="80" fillId="43" borderId="10" xfId="44" applyFont="1" applyFill="1" applyBorder="1" applyAlignment="1">
      <alignment horizontal="center" vertical="center"/>
    </xf>
    <xf numFmtId="16" fontId="61" fillId="43" borderId="10" xfId="44" quotePrefix="1" applyNumberFormat="1" applyFont="1" applyFill="1" applyBorder="1" applyAlignment="1">
      <alignment horizontal="center" vertical="center"/>
    </xf>
    <xf numFmtId="0" fontId="61" fillId="43" borderId="10" xfId="44" quotePrefix="1" applyFont="1" applyFill="1" applyBorder="1" applyAlignment="1">
      <alignment horizontal="center" vertical="center"/>
    </xf>
    <xf numFmtId="16" fontId="61" fillId="43" borderId="10" xfId="44" applyNumberFormat="1" applyFont="1" applyFill="1" applyBorder="1" applyAlignment="1">
      <alignment horizontal="center" vertical="center"/>
    </xf>
    <xf numFmtId="165" fontId="1" fillId="43" borderId="10" xfId="44" applyNumberFormat="1" applyFont="1" applyFill="1" applyBorder="1" applyAlignment="1">
      <alignment horizontal="left" vertical="center"/>
    </xf>
    <xf numFmtId="0" fontId="81" fillId="43" borderId="10" xfId="44" applyFont="1" applyFill="1" applyBorder="1" applyAlignment="1">
      <alignment horizontal="center" vertical="center"/>
    </xf>
    <xf numFmtId="0" fontId="82" fillId="43" borderId="10" xfId="44" applyFont="1" applyFill="1" applyBorder="1" applyAlignment="1">
      <alignment horizontal="center" vertical="center"/>
    </xf>
    <xf numFmtId="0" fontId="83" fillId="43" borderId="10" xfId="44" applyFont="1" applyFill="1" applyBorder="1" applyAlignment="1">
      <alignment horizontal="center" vertical="center"/>
    </xf>
    <xf numFmtId="49" fontId="83" fillId="43" borderId="10" xfId="44" applyNumberFormat="1" applyFont="1" applyFill="1" applyBorder="1" applyAlignment="1">
      <alignment horizontal="center" vertical="center"/>
    </xf>
    <xf numFmtId="0" fontId="71" fillId="43" borderId="10" xfId="44" applyFont="1" applyFill="1" applyBorder="1" applyAlignment="1">
      <alignment horizontal="left" vertical="center"/>
    </xf>
    <xf numFmtId="0" fontId="81" fillId="30" borderId="10" xfId="44" applyFont="1" applyFill="1" applyBorder="1" applyAlignment="1">
      <alignment horizontal="center" vertical="center"/>
    </xf>
    <xf numFmtId="0" fontId="82" fillId="30" borderId="10" xfId="44" applyFont="1" applyFill="1" applyBorder="1" applyAlignment="1">
      <alignment horizontal="center" vertical="center"/>
    </xf>
    <xf numFmtId="0" fontId="83" fillId="30" borderId="10" xfId="44" applyFont="1" applyFill="1" applyBorder="1" applyAlignment="1">
      <alignment horizontal="center" vertical="center"/>
    </xf>
    <xf numFmtId="49" fontId="83" fillId="30" borderId="10" xfId="44" applyNumberFormat="1" applyFont="1" applyFill="1" applyBorder="1" applyAlignment="1">
      <alignment horizontal="center" vertical="center"/>
    </xf>
    <xf numFmtId="0" fontId="51" fillId="30" borderId="10" xfId="44" applyFont="1" applyFill="1" applyBorder="1" applyAlignment="1">
      <alignment horizontal="center" vertical="center"/>
    </xf>
    <xf numFmtId="0" fontId="51" fillId="43" borderId="10" xfId="44" applyFont="1" applyFill="1" applyBorder="1" applyAlignment="1">
      <alignment horizontal="center" vertical="center"/>
    </xf>
    <xf numFmtId="0" fontId="47" fillId="43" borderId="23" xfId="44" applyFont="1" applyFill="1" applyBorder="1" applyAlignment="1">
      <alignment horizontal="left" vertical="center"/>
    </xf>
    <xf numFmtId="165" fontId="1" fillId="43" borderId="23" xfId="44" applyNumberFormat="1" applyFont="1" applyFill="1" applyBorder="1" applyAlignment="1">
      <alignment horizontal="left" vertical="center"/>
    </xf>
    <xf numFmtId="14" fontId="61" fillId="43" borderId="10" xfId="44" applyNumberFormat="1" applyFont="1" applyFill="1" applyBorder="1" applyAlignment="1">
      <alignment horizontal="center" vertical="center"/>
    </xf>
    <xf numFmtId="0" fontId="47" fillId="30" borderId="23" xfId="44" applyFont="1" applyFill="1" applyBorder="1" applyAlignment="1">
      <alignment horizontal="left" vertical="center"/>
    </xf>
    <xf numFmtId="165" fontId="47" fillId="30" borderId="23" xfId="44" applyNumberFormat="1" applyFont="1" applyFill="1" applyBorder="1" applyAlignment="1">
      <alignment horizontal="left" vertical="center"/>
    </xf>
    <xf numFmtId="165" fontId="47" fillId="43" borderId="23" xfId="44" applyNumberFormat="1" applyFont="1" applyFill="1" applyBorder="1" applyAlignment="1">
      <alignment horizontal="left" vertical="center"/>
    </xf>
    <xf numFmtId="0" fontId="72" fillId="43" borderId="10" xfId="44" applyFont="1" applyFill="1" applyBorder="1" applyAlignment="1">
      <alignment horizontal="center" vertical="center"/>
    </xf>
    <xf numFmtId="165" fontId="47" fillId="43" borderId="10" xfId="44" applyNumberFormat="1" applyFont="1" applyFill="1" applyBorder="1" applyAlignment="1">
      <alignment vertical="center"/>
    </xf>
    <xf numFmtId="0" fontId="87" fillId="0" borderId="0" xfId="0" applyFont="1" applyAlignment="1">
      <alignment horizontal="center" vertical="center" wrapText="1"/>
    </xf>
    <xf numFmtId="0" fontId="35" fillId="27" borderId="10" xfId="0" applyFont="1" applyFill="1" applyBorder="1" applyAlignment="1">
      <alignment vertical="center"/>
    </xf>
    <xf numFmtId="0" fontId="30" fillId="0" borderId="10" xfId="30" applyNumberFormat="1" applyFont="1" applyFill="1" applyBorder="1" applyAlignment="1">
      <alignment horizontal="center" vertical="center"/>
    </xf>
    <xf numFmtId="1" fontId="0" fillId="0" borderId="28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29" xfId="0" applyNumberFormat="1" applyBorder="1" applyAlignment="1">
      <alignment horizontal="center"/>
    </xf>
    <xf numFmtId="1" fontId="0" fillId="0" borderId="29" xfId="0" applyNumberFormat="1" applyBorder="1"/>
    <xf numFmtId="1" fontId="0" fillId="0" borderId="0" xfId="0" applyNumberFormat="1" applyAlignment="1">
      <alignment horizontal="center" vertical="center"/>
    </xf>
    <xf numFmtId="0" fontId="23" fillId="24" borderId="16" xfId="0" applyFont="1" applyFill="1" applyBorder="1" applyAlignment="1">
      <alignment horizontal="center"/>
    </xf>
    <xf numFmtId="1" fontId="0" fillId="0" borderId="30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1" fontId="0" fillId="0" borderId="15" xfId="0" applyNumberFormat="1" applyBorder="1"/>
    <xf numFmtId="1" fontId="0" fillId="0" borderId="31" xfId="0" applyNumberFormat="1" applyBorder="1"/>
    <xf numFmtId="0" fontId="42" fillId="27" borderId="10" xfId="0" applyFont="1" applyFill="1" applyBorder="1" applyAlignment="1">
      <alignment vertical="center"/>
    </xf>
    <xf numFmtId="49" fontId="62" fillId="45" borderId="23" xfId="44" applyNumberFormat="1" applyFont="1" applyFill="1" applyBorder="1" applyAlignment="1">
      <alignment horizontal="center" vertical="center"/>
    </xf>
    <xf numFmtId="49" fontId="62" fillId="45" borderId="24" xfId="44" applyNumberFormat="1" applyFont="1" applyFill="1" applyBorder="1" applyAlignment="1">
      <alignment horizontal="center" vertical="center"/>
    </xf>
    <xf numFmtId="49" fontId="62" fillId="45" borderId="22" xfId="44" applyNumberFormat="1" applyFont="1" applyFill="1" applyBorder="1" applyAlignment="1">
      <alignment horizontal="center" vertical="center"/>
    </xf>
    <xf numFmtId="0" fontId="62" fillId="45" borderId="30" xfId="44" applyFont="1" applyFill="1" applyBorder="1" applyAlignment="1">
      <alignment horizontal="left" vertical="center"/>
    </xf>
    <xf numFmtId="0" fontId="62" fillId="45" borderId="15" xfId="44" applyFont="1" applyFill="1" applyBorder="1" applyAlignment="1">
      <alignment horizontal="left" vertical="center"/>
    </xf>
    <xf numFmtId="0" fontId="62" fillId="45" borderId="31" xfId="44" applyFont="1" applyFill="1" applyBorder="1" applyAlignment="1">
      <alignment horizontal="left" vertical="center"/>
    </xf>
    <xf numFmtId="165" fontId="63" fillId="45" borderId="23" xfId="44" applyNumberFormat="1" applyFont="1" applyFill="1" applyBorder="1" applyAlignment="1">
      <alignment horizontal="center" vertical="center"/>
    </xf>
    <xf numFmtId="165" fontId="63" fillId="45" borderId="24" xfId="44" applyNumberFormat="1" applyFont="1" applyFill="1" applyBorder="1" applyAlignment="1">
      <alignment horizontal="center" vertical="center"/>
    </xf>
    <xf numFmtId="165" fontId="63" fillId="45" borderId="22" xfId="44" applyNumberFormat="1" applyFont="1" applyFill="1" applyBorder="1" applyAlignment="1">
      <alignment horizontal="center" vertical="center"/>
    </xf>
    <xf numFmtId="49" fontId="56" fillId="45" borderId="24" xfId="44" applyNumberFormat="1" applyFont="1" applyFill="1" applyBorder="1" applyAlignment="1">
      <alignment horizontal="center" vertical="center"/>
    </xf>
    <xf numFmtId="49" fontId="56" fillId="45" borderId="22" xfId="44" applyNumberFormat="1" applyFont="1" applyFill="1" applyBorder="1" applyAlignment="1">
      <alignment horizontal="center" vertical="center"/>
    </xf>
    <xf numFmtId="49" fontId="52" fillId="45" borderId="24" xfId="44" applyNumberFormat="1" applyFont="1" applyFill="1" applyBorder="1" applyAlignment="1">
      <alignment horizontal="center" vertical="center"/>
    </xf>
    <xf numFmtId="49" fontId="52" fillId="45" borderId="22" xfId="44" applyNumberFormat="1" applyFont="1" applyFill="1" applyBorder="1" applyAlignment="1">
      <alignment horizontal="center" vertical="center"/>
    </xf>
    <xf numFmtId="49" fontId="48" fillId="45" borderId="24" xfId="44" applyNumberFormat="1" applyFont="1" applyFill="1" applyBorder="1" applyAlignment="1">
      <alignment horizontal="center" vertical="center"/>
    </xf>
    <xf numFmtId="49" fontId="48" fillId="45" borderId="22" xfId="44" applyNumberFormat="1" applyFont="1" applyFill="1" applyBorder="1" applyAlignment="1">
      <alignment horizontal="center" vertical="center"/>
    </xf>
  </cellXfs>
  <cellStyles count="50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Lien hypertexte 2" xfId="49" xr:uid="{5D4712EE-AAC3-4353-86C6-4BE1A83670C2}"/>
    <cellStyle name="Milliers_Résultats CLUB Saison 2011_édition_05_12_2011" xfId="30" xr:uid="{00000000-0005-0000-0000-00001D000000}"/>
    <cellStyle name="Monétaire" xfId="47" builtinId="4"/>
    <cellStyle name="Neutre" xfId="31" builtinId="28" customBuiltin="1"/>
    <cellStyle name="Normal" xfId="0" builtinId="0"/>
    <cellStyle name="Normal 2" xfId="32" xr:uid="{00000000-0005-0000-0000-000020000000}"/>
    <cellStyle name="Normal 2 2" xfId="46" xr:uid="{34818F16-4E12-4834-8620-440C2DBEF3D4}"/>
    <cellStyle name="Normal 3" xfId="44" xr:uid="{B8E571C1-68B3-415A-8018-B1E5E0FE0133}"/>
    <cellStyle name="Normal 3 3" xfId="43" xr:uid="{00000000-0005-0000-0000-000021000000}"/>
    <cellStyle name="Normal 4" xfId="48" xr:uid="{8CD6BD8C-1711-4D05-98C0-F9085EB7EE6B}"/>
    <cellStyle name="Normal_Feuil2 2" xfId="45" xr:uid="{969CD6CB-1D9F-4A8E-91A0-0F1209EFA42D}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ffbsq.fr/_ffbsq/CNB/Competitions/2026/TOURNOIS%20PRIVES/REGLEMENTS%20TOURNOIS/DECEMBRE%202025/DH%20BCS%20ANNECY%2014%20decembre%202025.pdf" TargetMode="External"/><Relationship Id="rId117" Type="http://schemas.openxmlformats.org/officeDocument/2006/relationships/printerSettings" Target="../printerSettings/printerSettings9.bin"/><Relationship Id="rId21" Type="http://schemas.openxmlformats.org/officeDocument/2006/relationships/hyperlink" Target="https://www.ffbsq.fr/_ffbsq/CNB/Competitions/2026/TOURNOIS%20PRIVES/REGLEMENTS%20TOURNOIS/NOVEMBRE%202025/7_FIREBOWL_tournoi_doublettes_doublettes_hand70_petersen_08-09_11_2025_saison%202025_2026%20LRCVL.pdf" TargetMode="External"/><Relationship Id="rId42" Type="http://schemas.openxmlformats.org/officeDocument/2006/relationships/hyperlink" Target="https://www.ffbsq.fr/_ffbsq/CNB/Competitions/2026/TOURNOIS%20PRIVES/REGLEMENTS%20TOURNOIS/FEVRIER%202026/version%201%202025-2026%20reglement%202mixte%20THIAIS%20CD92.pdf" TargetMode="External"/><Relationship Id="rId47" Type="http://schemas.openxmlformats.org/officeDocument/2006/relationships/hyperlink" Target="https://www.ffbsq.fr/_ffbsq/CNB/Competitions/2026/TOURNOIS%20PRIVES/REGLEMENTS%20TOURNOIS/MARS%202026/Triplette%20Petersen%20Handicap%20Mars%202026.pdf" TargetMode="External"/><Relationship Id="rId63" Type="http://schemas.openxmlformats.org/officeDocument/2006/relationships/hyperlink" Target="https://www.ffbsq.fr/_ffbsq/CNB/Competitions/2026/TOURNOIS%20PRIVES/REGLEMENTS%20TOURNOIS/AVRIL%202026/5%20-%204.2%20Hand%2025-26%20Avril%202026%20MIS%20A%20JOUR.pdf" TargetMode="External"/><Relationship Id="rId68" Type="http://schemas.openxmlformats.org/officeDocument/2006/relationships/hyperlink" Target="https://www.ffbsq.fr/_ffbsq/CNB/Competitions/2026/TOURNOIS%20PRIVES/REGLEMENTS%20TOURNOIS/MAI%202026/2026-05-14_Agen_Rglt-2M-HCP_SCB%20Agenais.pdf" TargetMode="External"/><Relationship Id="rId84" Type="http://schemas.openxmlformats.org/officeDocument/2006/relationships/hyperlink" Target="https://www.ffbsq.fr/_ffbsq/CNB/Competitions/2026/TOURNOIS%20PRIVES/REGLEMENTS%20TOURNOIS/MAI%202026/R%C3%A8glement-23-24-Mai-2026.pdf" TargetMode="External"/><Relationship Id="rId89" Type="http://schemas.openxmlformats.org/officeDocument/2006/relationships/hyperlink" Target="https://www.ffbsq.fr/_ffbsq/CNB/Competitions/2026/TOURNOIS%20PRIVES/REGLEMENTS%20TOURNOIS/AOUT%202026/2026-08-30_Agen_Rglt-2-HCP_SCB%20Agenais.pdf" TargetMode="External"/><Relationship Id="rId112" Type="http://schemas.openxmlformats.org/officeDocument/2006/relationships/hyperlink" Target="https://www.ffbsq.fr/_ffbsq/CNB/Competitions/2026/TOURNOIS%20PRIVES/REGLEMENTS%20TOURNOIS/JUIN%202026/R%C3%A8glement-Individuel-Juin-2026.pdf" TargetMode="External"/><Relationship Id="rId16" Type="http://schemas.openxmlformats.org/officeDocument/2006/relationships/hyperlink" Target="https://www.ffbsq.fr/_ffbsq/CNB/Competitions/2026/TOURNOIS%20PRIVES/REGLEMENTS%20TOURNOIS/OCTOBRE%202025/2Hp%20du%2019%20Octobre%202025.pdf" TargetMode="External"/><Relationship Id="rId107" Type="http://schemas.openxmlformats.org/officeDocument/2006/relationships/hyperlink" Target="https://www.ffbsq.fr/_ffbsq/CNB/Competitions/2026/TOURNOIS%20PRIVES/REGLEMENTS%20TOURNOIS/JUIN%202026/2_AQUABOWL_tournoi_individuel_hand%2070%20_20-21_juin_2026_saison_2025_2026_LRCVL.pdf" TargetMode="External"/><Relationship Id="rId11" Type="http://schemas.openxmlformats.org/officeDocument/2006/relationships/hyperlink" Target="https://www.ffbsq.fr/_ffbsq/CNB/Competitions/2026/TOURNOIS%20PRIVES/REGLEMENTS%20TOURNOIS/OCTOBRE%202025/R%C3%A9glement%20Tournoi%20S%C3%A9niors%2B%202025.pdf" TargetMode="External"/><Relationship Id="rId32" Type="http://schemas.openxmlformats.org/officeDocument/2006/relationships/hyperlink" Target="https://www.ffbsq.fr/_ffbsq/CNB/Competitions/2026/TOURNOIS%20PRIVES/REGLEMENTS%20TOURNOIS/JANVIER%202026/2026-01-25-MBC-TOURNOI%20DOUBLETTE%20HANDICAP-36_doublettes_Valide%E2%95%A0%C3%BC.pdf" TargetMode="External"/><Relationship Id="rId37" Type="http://schemas.openxmlformats.org/officeDocument/2006/relationships/hyperlink" Target="https://www.ffbsq.fr/_ffbsq/CNB/Competitions/2026/TOURNOIS%20PRIVES/REGLEMENTS%20TOURNOIS/JANVIER%202026/TRIPLETTE%20MIXTE%20HDP%20FUNBOWLING%202026.pdf" TargetMode="External"/><Relationship Id="rId53" Type="http://schemas.openxmlformats.org/officeDocument/2006/relationships/hyperlink" Target="https://www.ffbsq.fr/_ffbsq/CNB/Competitions/2026/TOURNOIS%20PRIVES/REGLEMENTS%20TOURNOIS/AVRIL%202026/9_FIREBOWL_tournoi_triplettes_hand%2070_petersen_18-19_04_2026_saison%202025-2026_LRCVL.pdf" TargetMode="External"/><Relationship Id="rId58" Type="http://schemas.openxmlformats.org/officeDocument/2006/relationships/hyperlink" Target="https://www.ffbsq.fr/_ffbsq/CNB/Competitions/2026/TOURNOIS%20PRIVES/REGLEMENTS%20TOURNOIS/AVRIL%202026/2026-04-05-VILLENEUVE-D%27ASCQ-Doublettes-Hdp.pdf" TargetMode="External"/><Relationship Id="rId74" Type="http://schemas.openxmlformats.org/officeDocument/2006/relationships/hyperlink" Target="https://www.ffbsq.fr/_ffbsq/CNB/Competitions/2026/TOURNOIS%20PRIVES/REGLEMENTS%20TOURNOIS/MAI%202026/2026%2005%2017_HP_CHALONS%20EN%20CHAMPAGNE%20-%20BCC_3M_H80.pdf" TargetMode="External"/><Relationship Id="rId79" Type="http://schemas.openxmlformats.org/officeDocument/2006/relationships/hyperlink" Target="https://www.ffbsq.fr/_ffbsq/CNB/Competitions/2026/TOURNOIS%20PRIVES/REGLEMENTS%20TOURNOIS/MAI%202026/2026-05-24_Ind_Categories_Reglement.pdf" TargetMode="External"/><Relationship Id="rId102" Type="http://schemas.openxmlformats.org/officeDocument/2006/relationships/hyperlink" Target="https://www.ffbsq.fr/_ffbsq/CNB/Competitions/2026/TOURNOIS%20PRIVES/REGLEMENTS%20TOURNOIS/JUIN%202026/2026%2006%2028_HP_CHALONS%20EN%20CHAMPAGNE_%20PIN%20BULLS_4-2_H70.pdf" TargetMode="External"/><Relationship Id="rId5" Type="http://schemas.openxmlformats.org/officeDocument/2006/relationships/hyperlink" Target="https://www.ffbsq.fr/_ffbsq/CNB/Competitions/2026/TOURNOIS%20PRIVES/REGLEMENTS%20TOURNOIS/SEPTEMBRE%202025/2-1%20HDC%20Mont%20Dore%2007_09_25.pdf" TargetMode="External"/><Relationship Id="rId90" Type="http://schemas.openxmlformats.org/officeDocument/2006/relationships/hyperlink" Target="https://www.ffbsq.fr/_ffbsq/CNB/Competitions/2026/TOURNOIS%20PRIVES/REGLEMENTS%20TOURNOIS/AOUT%202026/2026-08-30_La%20Rochelle_3%201%20HCP%20Fe%E2%95%A0%C3%BCminin_Les%20Mouettes.pdf" TargetMode="External"/><Relationship Id="rId95" Type="http://schemas.openxmlformats.org/officeDocument/2006/relationships/hyperlink" Target="https://www.ffbsq.fr/_ffbsq/CNB/Competitions/2026/TOURNOIS%20PRIVES/REGLEMENTS%20TOURNOIS/JUILLET%202026/QUADRETTE%20HDP%20FUNBOWLING%202026.pdf" TargetMode="External"/><Relationship Id="rId22" Type="http://schemas.openxmlformats.org/officeDocument/2006/relationships/hyperlink" Target="https://www.ffbsq.fr/_ffbsq/CNB/Competitions/2026/TOURNOIS%20PRIVES/REGLEMENTS%20TOURNOIS/NOVEMBRE%202025/Reglement_novembre_2025.pdf" TargetMode="External"/><Relationship Id="rId27" Type="http://schemas.openxmlformats.org/officeDocument/2006/relationships/hyperlink" Target="https://www.ffbsq.fr/_ffbsq/CNB/Competitions/2026/TOURNOIS%20PRIVES/REGLEMENTS%20TOURNOIS/DECEMBRE%202025/4_VIERZON_tournoi_triplettes_hand%2070_07_12_2025_saison_2025_2026_LRCVL.pdf" TargetMode="External"/><Relationship Id="rId43" Type="http://schemas.openxmlformats.org/officeDocument/2006/relationships/hyperlink" Target="https://www.ffbsq.fr/_ffbsq/CNB/Competitions/2026/TOURNOIS%20PRIVES/REGLEMENTS%20TOURNOIS/FEVRIER%202026/tournoi%20saint%20valentin%202026.pdf" TargetMode="External"/><Relationship Id="rId48" Type="http://schemas.openxmlformats.org/officeDocument/2006/relationships/hyperlink" Target="https://www.ffbsq.fr/_ffbsq/CNB/Competitions/2026/TOURNOIS%20PRIVES/REGLEMENTS%20TOURNOIS/MARS%202026/2026_03-01_CD87_2Hcp-Quille-Limousine_Limoges.pdf" TargetMode="External"/><Relationship Id="rId64" Type="http://schemas.openxmlformats.org/officeDocument/2006/relationships/hyperlink" Target="https://www.ffbsq.fr/_ffbsq/CNB/Competitions/2026/TOURNOIS%20PRIVES/REGLEMENTS%20TOURNOIS/AVRIL%202026/r%C3%A9glement%20Doublette%20handicap%20Avril%202026.pdf" TargetMode="External"/><Relationship Id="rId69" Type="http://schemas.openxmlformats.org/officeDocument/2006/relationships/hyperlink" Target="https://www.ffbsq.fr/_ffbsq/CNB/Competitions/2026/TOURNOIS%20PRIVES/REGLEMENTS%20TOURNOIS/MAI%202026/2026-05-14_Re%E2%95%A0%C3%87glement%203%20hcp%20COGNAC_Valide%E2%95%A0%C3%BC.pdf" TargetMode="External"/><Relationship Id="rId113" Type="http://schemas.openxmlformats.org/officeDocument/2006/relationships/hyperlink" Target="https://www.ffbsq.fr/_ffbsq/CNB/Competitions/2026/TOURNOIS%20PRIVES/REGLEMENTS%20TOURNOIS/JUIN%202026/r%C3%A9glement%20doublette%2080%25%20bowling%20club%20de%20Bayeux%20juin%202026.pdf" TargetMode="External"/><Relationship Id="rId80" Type="http://schemas.openxmlformats.org/officeDocument/2006/relationships/hyperlink" Target="https://www.ffbsq.fr/_ffbsq/CNB/Competitions/2026/TOURNOIS%20PRIVES/REGLEMENTS%20TOURNOIS/MAI%202026/2026-05-24-Rglt%20ASLB%20Famille%202%20Hcp-Limoges.pdf" TargetMode="External"/><Relationship Id="rId85" Type="http://schemas.openxmlformats.org/officeDocument/2006/relationships/hyperlink" Target="https://www.ffbsq.fr/_ffbsq/CNB/Competitions/2026/TOURNOIS%20PRIVES/REGLEMENTS%20TOURNOIS/MAI%202026/Rgltm%2012eme%20Track%20ISBT%20du%2021au%2025%20Mai%202026.pdf" TargetMode="External"/><Relationship Id="rId12" Type="http://schemas.openxmlformats.org/officeDocument/2006/relationships/hyperlink" Target="https://www.ffbsq.fr/_ffbsq/CNB/Competitions/2026/TOURNOIS%20PRIVES/REGLEMENTS%20TOURNOIS/OCTOBRE%202025/3_VIERZON_tournoi_triplettes_hand%2070_05_10_2025_saison_2025_2026_LRCVL.pdf" TargetMode="External"/><Relationship Id="rId17" Type="http://schemas.openxmlformats.org/officeDocument/2006/relationships/hyperlink" Target="https://www.ffbsq.fr/_ffbsq/Competitions/2026/TOURNOIS%20PRIVES/REGLEMENTS%20TOURNOIS/OCTOBRE%202025/2025-10-26_2HDP_70_Feminin_Gladiatores_Nimes_Reglement.pdf" TargetMode="External"/><Relationship Id="rId33" Type="http://schemas.openxmlformats.org/officeDocument/2006/relationships/hyperlink" Target="https://www.ffbsq.fr/_ffbsq/CNB/Competitions/2026/TOURNOIS%20PRIVES/REGLEMENTS%20TOURNOIS/JANVIER%202026/2026%2001%2011_HP_CHALONS%20EN%20CHAMPAGNE%20-%20BCC_3M_H80.pdf" TargetMode="External"/><Relationship Id="rId38" Type="http://schemas.openxmlformats.org/officeDocument/2006/relationships/hyperlink" Target="https://www.ffbsq.fr/_ffbsq/CNB/Competitions/2026/TOURNOIS%20PRIVES/REGLEMENTS%20TOURNOIS/JANVIER%202026/2026_01_25_TTMP_Reglement.pdf" TargetMode="External"/><Relationship Id="rId59" Type="http://schemas.openxmlformats.org/officeDocument/2006/relationships/hyperlink" Target="https://www.ffbsq.fr/_ffbsq/CNB/Competitions/2026/TOURNOIS%20PRIVES/REGLEMENTS%20TOURNOIS/AVRIL%202026/2026-04-05_4321HDP_70_BCCaissargues_Caissargues_Reglement.pdf" TargetMode="External"/><Relationship Id="rId103" Type="http://schemas.openxmlformats.org/officeDocument/2006/relationships/hyperlink" Target="https://www.ffbsq.fr/_ffbsq/CNB/Competitions/2026/TOURNOIS%20PRIVES/REGLEMENTS%20TOURNOIS/JUIN%202026/2026-06-14-Angoule%E2%95%A0%C3%A9me-1-HD_P_Valide%E2%95%A0%C3%BC.pdf" TargetMode="External"/><Relationship Id="rId108" Type="http://schemas.openxmlformats.org/officeDocument/2006/relationships/hyperlink" Target="https://www.ffbsq.fr/_ffbsq/CNB/Competitions/2026/TOURNOIS%20PRIVES/REGLEMENTS%20TOURNOIS/JUIN%202026/2e%20Challenge%20de%20l%27avenir%20Hdp%2070%20%2013-14%20juin%202026.pdf" TargetMode="External"/><Relationship Id="rId54" Type="http://schemas.openxmlformats.org/officeDocument/2006/relationships/hyperlink" Target="https://www.ffbsq.fr/_ffbsq/CNB/Competitions/2026/TOURNOIS%20PRIVES/REGLEMENTS%20TOURNOIS/AVRIL%202026/2026-04-06_CD87_3-1Hcp-Marathon-Limousin_LGES.pdf" TargetMode="External"/><Relationship Id="rId70" Type="http://schemas.openxmlformats.org/officeDocument/2006/relationships/hyperlink" Target="https://www.ffbsq.fr/_ffbsq/CNB/Competitions/2026/TOURNOIS%20PRIVES/REGLEMENTS%20TOURNOIS/MAI%202026/2026-05-03-ST-NAZAIRE-2M-HDP.pdf" TargetMode="External"/><Relationship Id="rId75" Type="http://schemas.openxmlformats.org/officeDocument/2006/relationships/hyperlink" Target="https://www.ffbsq.fr/_ffbsq/CNB/Competitions/2026/TOURNOIS%20PRIVES/REGLEMENTS%20TOURNOIS/MAI%202026/2026%2005%2024_HP_ST%20JULIEN%20LES%20METZ_SLUC%20NANCY_2_H70.pdf" TargetMode="External"/><Relationship Id="rId91" Type="http://schemas.openxmlformats.org/officeDocument/2006/relationships/hyperlink" Target="https://www.ffbsq.fr/_ffbsq/CNB/Competitions/2026/TOURNOIS%20PRIVES/REGLEMENTS%20TOURNOIS/AOUT%202026/2026-08-23_3-2-1HDP_70_BCTricastin_Caissargues_Reglement.pdf" TargetMode="External"/><Relationship Id="rId96" Type="http://schemas.openxmlformats.org/officeDocument/2006/relationships/hyperlink" Target="https://www.ffbsq.fr/_ffbsq/CNB/Competitions/2026/TOURNOIS%20PRIVES/REGLEMENTS%20TOURNOIS/JUILLET%202026/Tournois_sbc_3_hdc_petersen_4_5_juillet_2026.pdf" TargetMode="External"/><Relationship Id="rId1" Type="http://schemas.openxmlformats.org/officeDocument/2006/relationships/hyperlink" Target="https://www.ffbsq.fr/_ffbsq/CNB/Competitions/2026/TOURNOIS%20PRIVES/REGLEMENTS%20TOURNOIS/SEPTEMBRE%202025/2025-09-07-MBC-TOURNOI%20DOUBLETTE%20HANDICAP-36_doublettes_Valide%E2%95%A0%C3%BC.pdf" TargetMode="External"/><Relationship Id="rId6" Type="http://schemas.openxmlformats.org/officeDocument/2006/relationships/hyperlink" Target="https://www.ffbsq.fr/_ffbsq/CNB/Competitions/2026/TOURNOIS%20PRIVES/REGLEMENTS%20TOURNOIS/SEPTEMBRE%202025/Reglement%20BPT%202025%20Fra.pdf" TargetMode="External"/><Relationship Id="rId23" Type="http://schemas.openxmlformats.org/officeDocument/2006/relationships/hyperlink" Target="https://www.ffbsq.fr/_ffbsq/CNB/Competitions/2026/TOURNOIS%20PRIVES/REGLEMENTS%20TOURNOIS/NOVEMBRE%202025/2025-11-30-MBC-TOURNOI%20TRIPLETTE%20HANDICAP_A-R_Valide%E2%95%A0%C3%BC.pdf" TargetMode="External"/><Relationship Id="rId28" Type="http://schemas.openxmlformats.org/officeDocument/2006/relationships/hyperlink" Target="https://www.ffbsq.fr/_ffbsq/CNB/Competitions/2026/TOURNOIS%20PRIVES/REGLEMENTS%20TOURNOIS/DECEMBRE%202025/2025-12-07_Re%E2%95%A0%C3%87glement%202Hdcp%20COGNAC_Valide%E2%95%A0%C3%BC.pdf" TargetMode="External"/><Relationship Id="rId49" Type="http://schemas.openxmlformats.org/officeDocument/2006/relationships/hyperlink" Target="https://www.ffbsq.fr/_ffbsq/CNB/Competitions/2026/TOURNOIS%20PRIVES/REGLEMENTS%20TOURNOIS/MARS%202026/Reglement_mars_2026.pdf" TargetMode="External"/><Relationship Id="rId114" Type="http://schemas.openxmlformats.org/officeDocument/2006/relationships/hyperlink" Target="https://www.ffbsq.fr/_ffbsq/CNB/Competitions/2026/TOURNOIS%20PRIVES/REGLEMENTS%20TOURNOIS/JUIN%202026/Tournoi%20marc%20Capeau%202026.pdf" TargetMode="External"/><Relationship Id="rId10" Type="http://schemas.openxmlformats.org/officeDocument/2006/relationships/hyperlink" Target="https://www.ffbsq.fr/_ffbsq/CNB/Competitions/2026/TOURNOIS%20PRIVES/REGLEMENTS%20TOURNOIS/SEPTEMBRE%202025/2025-09-28_2HDP_80_BCAC_Montpellier_Reglement.pdf" TargetMode="External"/><Relationship Id="rId31" Type="http://schemas.openxmlformats.org/officeDocument/2006/relationships/hyperlink" Target="https://www.ffbsq.fr/_ffbsq/CNB/Competitions/2026/TOURNOIS%20PRIVES/REGLEMENTS%20TOURNOIS/DECEMBRE%202025/2025-12-21-La%20Rochelle_Re%E2%95%A0%C3%87glement1-2-4-hdp-Valide%E2%95%A0%C3%BC.pdf" TargetMode="External"/><Relationship Id="rId44" Type="http://schemas.openxmlformats.org/officeDocument/2006/relationships/hyperlink" Target="https://www.ffbsq.fr/_ffbsq/CNB/Competitions/2026/TOURNOIS%20PRIVES/REGLEMENTS%20TOURNOIS/FEVRIER%202026/2026-02-15_5HDP_60_JockChance_Caissargues_Reglement.pdf" TargetMode="External"/><Relationship Id="rId52" Type="http://schemas.openxmlformats.org/officeDocument/2006/relationships/hyperlink" Target="https://www.ffbsq.fr/_ffbsq/CNB/Competitions/2026/TOURNOIS%20PRIVES/REGLEMENTS%20TOURNOIS/AVRIL%202026/2026-04-19_FONTAINE_R%C3%A8glement%20Doublette%20Scratch%20Handicap.pdf" TargetMode="External"/><Relationship Id="rId60" Type="http://schemas.openxmlformats.org/officeDocument/2006/relationships/hyperlink" Target="https://www.ffbsq.fr/_ffbsq/CNB/Competitions/2026/TOURNOIS%20PRIVES/REGLEMENTS%20TOURNOIS/AVRIL%202026/2026-04-05_Rglt%20ASLB%20Corpo%203%20Hcp%20-%20Buxerolles.pdf" TargetMode="External"/><Relationship Id="rId65" Type="http://schemas.openxmlformats.org/officeDocument/2006/relationships/hyperlink" Target="https://www.ffbsq.fr/_ffbsq/CNB/Competitions/2026/TOURNOIS%20PRIVES/REGLEMENTS%20TOURNOIS/MAI%202026/2026-05-17_5MixteHDP_70_BCTricastin_Caissargues_Reglement.pdf" TargetMode="External"/><Relationship Id="rId73" Type="http://schemas.openxmlformats.org/officeDocument/2006/relationships/hyperlink" Target="https://www.ffbsq.fr/_ffbsq/CNB/Competitions/2026/TOURNOIS%20PRIVES/REGLEMENTS%20TOURNOIS/MAI%202026/5_VIERZON_tournoi_4-2_hand%2070_16-17_05_2026_saison_2025_2026_LRCVL.pdf" TargetMode="External"/><Relationship Id="rId78" Type="http://schemas.openxmlformats.org/officeDocument/2006/relationships/hyperlink" Target="https://www.ffbsq.fr/_ffbsq/CNB/Competitions/2026/TOURNOIS%20PRIVES/REGLEMENTS%20TOURNOIS/MAI%202026/2026-05-24_%20Gilles%20DEPY_2hdp_Scorpions.pdf" TargetMode="External"/><Relationship Id="rId81" Type="http://schemas.openxmlformats.org/officeDocument/2006/relationships/hyperlink" Target="https://www.ffbsq.fr/_ffbsq/CNB/Competitions/2026/TOURNOIS%20PRIVES/REGLEMENTS%20TOURNOIS/MAI%202026/Tournoi%20S%2B%20AuRA%202026.pdf" TargetMode="External"/><Relationship Id="rId86" Type="http://schemas.openxmlformats.org/officeDocument/2006/relationships/hyperlink" Target="https://www.ffbsq.fr/_ffbsq/CNB/Competitions/2026/TOURNOIS%20PRIVES/REGLEMENTS%20TOURNOIS/MAI%202026/tournoi%20andouille%202026.pdf" TargetMode="External"/><Relationship Id="rId94" Type="http://schemas.openxmlformats.org/officeDocument/2006/relationships/hyperlink" Target="https://www.ffbsq.fr/_ffbsq/CNB/Competitions/2026/TOURNOIS%20PRIVES/REGLEMENTS%20TOURNOIS/JUILLET%202026/2026_07_11%20La%20Rochelle_Rglt-Ind-S%C3%A9niors%5EM_VALIDE.pdf" TargetMode="External"/><Relationship Id="rId99" Type="http://schemas.openxmlformats.org/officeDocument/2006/relationships/hyperlink" Target="https://www.ffbsq.fr/_ffbsq/CNB/Competitions/2026/TOURNOIS%20PRIVES/REGLEMENTS%20TOURNOIS/JUIN%202026/10_FIREBOWL_tournoi_triplettes_hand%2070_petersen_13-14_06_2026_saison%202025-2026_LRCVL.pdf" TargetMode="External"/><Relationship Id="rId101" Type="http://schemas.openxmlformats.org/officeDocument/2006/relationships/hyperlink" Target="https://www.ffbsq.fr/_ffbsq/CNB/Competitions/2026/TOURNOIS%20PRIVES/REGLEMENTS%20TOURNOIS/JUIN%202026/2025%2006%2014_HP_CONTREXEVILLE_%20BC%20CONTREX_3_H70.pdf" TargetMode="External"/><Relationship Id="rId4" Type="http://schemas.openxmlformats.org/officeDocument/2006/relationships/hyperlink" Target="https://www.ffbsq.fr/_ffbsq/CNB/Competitions/2026/TOURNOIS%20PRIVES/REGLEMENTS%20TOURNOIS/SEPTEMBRE%202025/reglement_sbc_1_handicap_par_elimination_6_7_sept_2025%20MODIFIE.pdf" TargetMode="External"/><Relationship Id="rId9" Type="http://schemas.openxmlformats.org/officeDocument/2006/relationships/hyperlink" Target="https://www.ffbsq.fr/_ffbsq/CNB/Competitions/2026/TOURNOIS%20PRIVES/REGLEMENTS%20TOURNOIS/SEPTEMBRE%202025/1%20-%203hp%20Mixte%2020-21%20septembre2025.pdf" TargetMode="External"/><Relationship Id="rId13" Type="http://schemas.openxmlformats.org/officeDocument/2006/relationships/hyperlink" Target="https://www.ffbsq.fr/_ffbsq/CNB/Competitions/2026/TOURNOIS%20PRIVES/REGLEMENTS%20TOURNOIS/OCTOBRE%202025/2025-10-19_2-1HDP_70_BCCostieres_Caissargues_Reglement.pdf" TargetMode="External"/><Relationship Id="rId18" Type="http://schemas.openxmlformats.org/officeDocument/2006/relationships/hyperlink" Target="https://www.ffbsq.fr/_ffbsq/CNB/Competitions/2026/TOURNOIS%20PRIVES/REGLEMENTS%20TOURNOIS/OCTOBRE%202025/TOURNOI%20FEMININ%202025%20doublettes.pdf" TargetMode="External"/><Relationship Id="rId39" Type="http://schemas.openxmlformats.org/officeDocument/2006/relationships/hyperlink" Target="https://www.ffbsq.fr/_ffbsq/CNB/Competitions/2026/TOURNOIS%20PRIVES/REGLEMENTS%20TOURNOIS/FEVRIER%202026/2026-02-01_MasterSeniorPlus_Caissargues_reglt.pdf" TargetMode="External"/><Relationship Id="rId109" Type="http://schemas.openxmlformats.org/officeDocument/2006/relationships/hyperlink" Target="https://www.ffbsq.fr/_ffbsq/CNB/Competitions/2026/TOURNOIS%20PRIVES/REGLEMENTS%20TOURNOIS/JUIN%202026/6%20-%205hp%20petersen%2027-28%20Juin2026.pdf" TargetMode="External"/><Relationship Id="rId34" Type="http://schemas.openxmlformats.org/officeDocument/2006/relationships/hyperlink" Target="https://www.ffbsq.fr/_ffbsq/CNB/Competitions/2026/TOURNOIS%20PRIVES/REGLEMENTS%20TOURNOIS/JANVIER%202026/reglement_sbc_bruno_grosay_23_24_25_janv_2026.pdf" TargetMode="External"/><Relationship Id="rId50" Type="http://schemas.openxmlformats.org/officeDocument/2006/relationships/hyperlink" Target="https://www.ffbsq.fr/_ffbsq/CNB/Competitions/2026/TOURNOIS%20PRIVES/REGLEMENTS%20TOURNOIS/MARS%202026/Doublette%20Dimanche%201%20Mars%202026.pdf" TargetMode="External"/><Relationship Id="rId55" Type="http://schemas.openxmlformats.org/officeDocument/2006/relationships/hyperlink" Target="https://www.ffbsq.fr/_ffbsq/CNB/Competitions/2026/TOURNOIS%20PRIVES/REGLEMENTS%20TOURNOIS/AVRIL%202026/2026-04-18_3hdp%20RR_1J_BC%20Thiais.pdf" TargetMode="External"/><Relationship Id="rId76" Type="http://schemas.openxmlformats.org/officeDocument/2006/relationships/hyperlink" Target="https://www.ffbsq.fr/_ffbsq/CNB/Competitions/2026/TOURNOIS%20PRIVES/REGLEMENTS%20TOURNOIS/MAI%202026/2026-05-03_321HDP_70_Mixte_UzesBC_Caissargues_Reglement.pdf" TargetMode="External"/><Relationship Id="rId97" Type="http://schemas.openxmlformats.org/officeDocument/2006/relationships/hyperlink" Target="https://www.ffbsq.fr/_ffbsq/CNB/Competitions/2026/TOURNOIS%20PRIVES/REGLEMENTS%20TOURNOIS/JUILLET%202026/3%20-%20Tournoi%202%20hcp%2045%20juillet%202026.pdf" TargetMode="External"/><Relationship Id="rId104" Type="http://schemas.openxmlformats.org/officeDocument/2006/relationships/hyperlink" Target="https://www.ffbsq.fr/_ffbsq/CNB/Competitions/2026/TOURNOIS%20PRIVES/REGLEMENTS%20TOURNOIS/JUIN%202026/2026-06-28-Tournoi_1-2-4_Chauray%20_Valide%E2%95%A0%C3%BC.pdf" TargetMode="External"/><Relationship Id="rId7" Type="http://schemas.openxmlformats.org/officeDocument/2006/relationships/hyperlink" Target="https://www.ffbsq.fr/_ffbsq/CNB/Competitions/2026/TOURNOIS%20PRIVES/REGLEMENTS%20TOURNOIS/SEPTEMBRE%202025/2025-09-21_5%20hdp_BAC%20Boussy.pdf" TargetMode="External"/><Relationship Id="rId71" Type="http://schemas.openxmlformats.org/officeDocument/2006/relationships/hyperlink" Target="https://www.ffbsq.fr/_ffbsq/CNB/Competitions/2026/TOURNOIS%20PRIVES/REGLEMENTS%20TOURNOIS/MAI%202026/2Hp%20du%2017%20Mai%202025.pdf" TargetMode="External"/><Relationship Id="rId92" Type="http://schemas.openxmlformats.org/officeDocument/2006/relationships/hyperlink" Target="https://www.ffbsq.fr/_ffbsq/CNB/Competitions/2026/TOURNOIS%20PRIVES/REGLEMENTS%20TOURNOIS/AOUT%202026/4%20-%20Tournoi%201%20hcp%202627%20ao%C3%BBt%202026.pdf" TargetMode="External"/><Relationship Id="rId2" Type="http://schemas.openxmlformats.org/officeDocument/2006/relationships/hyperlink" Target="https://www.ffbsq.fr/_ffbsq/CNB/Competitions/2026/TOURNOIS%20PRIVES/REGLEMENTS%20TOURNOIS/SEPTEMBRE%202025/9e%20Challenge%20F%C3%A9minin%202%20Hdp%2070%20%202025.pdf" TargetMode="External"/><Relationship Id="rId29" Type="http://schemas.openxmlformats.org/officeDocument/2006/relationships/hyperlink" Target="https://www.ffbsq.fr/_ffbsq/CNB/Competitions/2026/TOURNOIS%20PRIVES/REGLEMENTS%20TOURNOIS/DECEMBRE%202025/1_AQUABOWL_tournoi_2-1_13-14%20_d%C3%A9cembre_%202025%20_saison_2025_2026_LRCVL.pdf" TargetMode="External"/><Relationship Id="rId24" Type="http://schemas.openxmlformats.org/officeDocument/2006/relationships/hyperlink" Target="https://www.ffbsq.fr/_ffbsq/CNB/Competitions/2026/TOURNOIS%20PRIVES/REGLEMENTS%20TOURNOIS/NOVEMBRE%202025/2025-11-30_1HDP_70_BCCaissargues_Caissargues_Reglement.pdf" TargetMode="External"/><Relationship Id="rId40" Type="http://schemas.openxmlformats.org/officeDocument/2006/relationships/hyperlink" Target="https://www.ffbsq.fr/_ffbsq/CNB/Competitions/2026/TOURNOIS%20PRIVES/REGLEMENTS%20TOURNOIS/FEVRIER%202026/r%C3%A8glement%20tournoi%20TTMP%20Bowling%20Club%20de%20Bayeux%20Fev%202026.pdf" TargetMode="External"/><Relationship Id="rId45" Type="http://schemas.openxmlformats.org/officeDocument/2006/relationships/hyperlink" Target="https://www.ffbsq.fr/_ffbsq/CNB/Competitions/2026/TOURNOIS%20PRIVES/REGLEMENTS%20TOURNOIS/MARS%202026/DOUBLETTE%20%20HDP%20FUNBOWLING%202026.pdf" TargetMode="External"/><Relationship Id="rId66" Type="http://schemas.openxmlformats.org/officeDocument/2006/relationships/hyperlink" Target="https://www.ffbsq.fr/_ffbsq/CNB/Competitions/2026/TOURNOIS%20PRIVES/REGLEMENTS%20TOURNOIS/MAI%202026/2026-05-31_2HDP_70_SeniorPlus_BCAC_Nimes_Reglement.pdf" TargetMode="External"/><Relationship Id="rId87" Type="http://schemas.openxmlformats.org/officeDocument/2006/relationships/hyperlink" Target="https://www.ffbsq.fr/_ffbsq/CNB/Competitions/2026/TOURNOIS%20PRIVES/REGLEMENTS%20TOURNOIS/MAI%202026/TOURNOI%20DOUBLETTE%20HANDICAP%20Angers%20BC.pdf" TargetMode="External"/><Relationship Id="rId110" Type="http://schemas.openxmlformats.org/officeDocument/2006/relationships/hyperlink" Target="https://www.ffbsq.fr/_ffbsq/CNB/Competitions/2026/TOURNOIS%20PRIVES/REGLEMENTS%20TOURNOIS/JUIN%202026/6_VIERZON_quintette_petersen_hand%2070_28-29_06_2026_saison_2025_2026_LRCVL.pdf" TargetMode="External"/><Relationship Id="rId115" Type="http://schemas.openxmlformats.org/officeDocument/2006/relationships/hyperlink" Target="https://www.ffbsq.fr/_ffbsq/CNB/Competitions/2026/TOURNOIS%20PRIVES/REGLEMENTS%20TOURNOIS/JUIN%202026/Tournoi_sbc_2_1_performance_13_14_juin_2026.pdf" TargetMode="External"/><Relationship Id="rId61" Type="http://schemas.openxmlformats.org/officeDocument/2006/relationships/hyperlink" Target="https://www.ffbsq.fr/_ffbsq/CNB/Competitions/2026/TOURNOIS%20PRIVES/REGLEMENTS%20TOURNOIS/AVRIL%202026/2026-1SH_reglement.pdf" TargetMode="External"/><Relationship Id="rId82" Type="http://schemas.openxmlformats.org/officeDocument/2006/relationships/hyperlink" Target="https://www.ffbsq.fr/_ffbsq/CNB/Competitions/2026/TOURNOIS%20PRIVES/REGLEMENTS%20TOURNOIS/MAI%202026/R%C3%A8glement%2040%C3%A8me%20tournoi%20Doublette%20Scratch%20Handicap.pdf" TargetMode="External"/><Relationship Id="rId19" Type="http://schemas.openxmlformats.org/officeDocument/2006/relationships/hyperlink" Target="https://www.ffbsq.fr/_ffbsq/CNB/Competitions/2026/TOURNOIS%20PRIVES/REGLEMENTS%20TOURNOIS/NOVEMBRE%202025/r%C3%A9glement%20triplette%2070%25%20vikings%20calvados%20nov2025.pdf" TargetMode="External"/><Relationship Id="rId14" Type="http://schemas.openxmlformats.org/officeDocument/2006/relationships/hyperlink" Target="https://www.ffbsq.fr/_ffbsq/CNB/Competitions/2026/TOURNOIS%20PRIVES/REGLEMENTS%20TOURNOIS/OCTOBRE%202025/2025%2010%2019%20HP%20DORLISHEIM%20_BC%20LA%20BRUCHE_2-1_H70.pdf" TargetMode="External"/><Relationship Id="rId30" Type="http://schemas.openxmlformats.org/officeDocument/2006/relationships/hyperlink" Target="https://www.ffbsq.fr/_ffbsq/CNB/Competitions/2026/TOURNOIS%20PRIVES/REGLEMENTS%20TOURNOIS/DECEMBRE%202025/2025-12-20_3hdp%20RR_1J_BC%20Thiais.pdf" TargetMode="External"/><Relationship Id="rId35" Type="http://schemas.openxmlformats.org/officeDocument/2006/relationships/hyperlink" Target="https://www.ffbsq.fr/_ffbsq/CNB/Competitions/2026/TOURNOIS%20PRIVES/REGLEMENTS%20TOURNOIS/JANVIER%202026/4%20-%20individuel%20v%C3%A9t%C3%A9ran%2023-24-25%20janvier%202026.pdf" TargetMode="External"/><Relationship Id="rId56" Type="http://schemas.openxmlformats.org/officeDocument/2006/relationships/hyperlink" Target="https://www.ffbsq.fr/_ffbsq/CNB/Competitions/2026/TOURNOIS%20PRIVES/REGLEMENTS%20TOURNOIS/AVRIL%202026/2026-04-19_Me%E2%95%A0%C3%BCriadeck-Rglt%203M-Hdcp-Tournoi%20des%20Jalles.pdf" TargetMode="External"/><Relationship Id="rId77" Type="http://schemas.openxmlformats.org/officeDocument/2006/relationships/hyperlink" Target="https://www.ffbsq.fr/_ffbsq/CNB/Competitions/2026/TOURNOIS%20PRIVES/REGLEMENTS%20TOURNOIS/MAI%202026/2026-05-10_Re%E2%95%A0%C3%87glement%20tournoi%20-Buxerolles-3-HDP_Valide%E2%95%A0%C3%BC.pdf" TargetMode="External"/><Relationship Id="rId100" Type="http://schemas.openxmlformats.org/officeDocument/2006/relationships/hyperlink" Target="https://www.ffbsq.fr/_ffbsq/CNB/Competitions/2026/TOURNOIS%20PRIVES/REGLEMENTS%20TOURNOIS/JUIN%202026/2026-06-14_3%20hdp%20RR_1J_Scorpions.pdf" TargetMode="External"/><Relationship Id="rId105" Type="http://schemas.openxmlformats.org/officeDocument/2006/relationships/hyperlink" Target="https://www.ffbsq.fr/_ffbsq/CNB/Competitions/2026/TOURNOIS%20PRIVES/REGLEMENTS%20TOURNOIS/JUIN%202026/2026-06-28_321HDP_70_Gladiatores_Montpellier_Reglement.pdf" TargetMode="External"/><Relationship Id="rId8" Type="http://schemas.openxmlformats.org/officeDocument/2006/relationships/hyperlink" Target="https://www.ffbsq.fr/_ffbsq/CNB/Competitions/2026/TOURNOIS%20PRIVES/REGLEMENTS%20TOURNOIS/SEPTEMBRE%202025/2025-09-21_2-1HDP_BCRO_70_Rodez_Reglement.pdf" TargetMode="External"/><Relationship Id="rId51" Type="http://schemas.openxmlformats.org/officeDocument/2006/relationships/hyperlink" Target="https://www.ffbsq.fr/_ffbsq/CNB/Competitions/2026/TOURNOIS%20PRIVES/REGLEMENTS%20TOURNOIS/AVRIL%202026/Brunswick%20Challenge%202026.pdf" TargetMode="External"/><Relationship Id="rId72" Type="http://schemas.openxmlformats.org/officeDocument/2006/relationships/hyperlink" Target="https://www.ffbsq.fr/_ffbsq/CNB/Competitions/2026/TOURNOIS%20PRIVES/REGLEMENTS%20TOURNOIS/MAI%202026/3%20-%20Tournoi%20%204-23%20Mai%202026.pdf" TargetMode="External"/><Relationship Id="rId93" Type="http://schemas.openxmlformats.org/officeDocument/2006/relationships/hyperlink" Target="https://www.ffbsq.fr/_ffbsq/CNB/Competitions/2026/TOURNOIS%20PRIVES/REGLEMENTS%20TOURNOIS/JUILLET%202026/2026-07-05-MBC-TOURNOI%20TRIPLETTE%20HANDICAP_Valide%E2%95%A0%C3%BC.pdf" TargetMode="External"/><Relationship Id="rId98" Type="http://schemas.openxmlformats.org/officeDocument/2006/relationships/hyperlink" Target="https://www.ffbsq.fr/_ffbsq/CNB/Competitions/2026/TOURNOIS%20PRIVES/REGLEMENTS%20TOURNOIS/JUILLET%202026/3Hp%20du%2005%20juillet%202026.pdf" TargetMode="External"/><Relationship Id="rId3" Type="http://schemas.openxmlformats.org/officeDocument/2006/relationships/hyperlink" Target="https://www.ffbsq.fr/_ffbsq/CNB/Competitions/2026/TOURNOIS%20PRIVES/REGLEMENTS%20TOURNOIS/SEPTEMBRE%202025/2025-09-07_1HDP_70_Gladiatores_Nimes_Reglement.pdf" TargetMode="External"/><Relationship Id="rId25" Type="http://schemas.openxmlformats.org/officeDocument/2006/relationships/hyperlink" Target="https://www.ffbsq.fr/_ffbsq/CNB/Competitions/2026/TOURNOIS%20PRIVES/REGLEMENTS%20TOURNOIS/NOVEMBRE%202025/3%20-%204hp%20petersen%2029-30%20novembre2025.pdf" TargetMode="External"/><Relationship Id="rId46" Type="http://schemas.openxmlformats.org/officeDocument/2006/relationships/hyperlink" Target="https://www.ffbsq.fr/_ffbsq/CNB/Competitions/2026/TOURNOIS%20PRIVES/REGLEMENTS%20TOURNOIS/MARS%202026/8_FIREBOWL_tournoi_quintettes_hand%2070_petersen_07-08_03_2026_saison%202025-2026_LRCVL.docx.pdf" TargetMode="External"/><Relationship Id="rId67" Type="http://schemas.openxmlformats.org/officeDocument/2006/relationships/hyperlink" Target="https://www.ffbsq.fr/_ffbsq/CNB/Competitions/2026/TOURNOIS%20PRIVES/REGLEMENTS%20TOURNOIS/MAI%202026/2026-05-17_5%20hdp%204%20huilages_BAC%20Boussy.pdf" TargetMode="External"/><Relationship Id="rId116" Type="http://schemas.openxmlformats.org/officeDocument/2006/relationships/hyperlink" Target="https://www.ffbsq.fr/_ffbsq/CNB/Competitions/2026/TOURNOIS%20PRIVES/REGLEMENTS%20TOURNOIS/DECEMBRE%202025/R%C3%A8glement-Doublette-D%C3%A9cembre-2025.pdf" TargetMode="External"/><Relationship Id="rId20" Type="http://schemas.openxmlformats.org/officeDocument/2006/relationships/hyperlink" Target="https://www.ffbsq.fr/_ffbsq/CNB/Competitions/2026/TOURNOIS%20PRIVES/REGLEMENTS%20TOURNOIS/NOVEMBRE%202025/Scratch-Handicap-S%C3%A9niors.pdf" TargetMode="External"/><Relationship Id="rId41" Type="http://schemas.openxmlformats.org/officeDocument/2006/relationships/hyperlink" Target="https://www.ffbsq.fr/_ffbsq/CNB/Competitions/2026/TOURNOIS%20PRIVES/REGLEMENTS%20TOURNOIS/FEVRIER%202026/2026-02-08_5HDP_70_EBRodez_Rodez_Reglement.pdf" TargetMode="External"/><Relationship Id="rId62" Type="http://schemas.openxmlformats.org/officeDocument/2006/relationships/hyperlink" Target="https://www.ffbsq.fr/_ffbsq/CNB/Competitions/2026/TOURNOIS%20PRIVES/REGLEMENTS%20TOURNOIS/AVRIL%202026/2HP%20Senoir%2B%20du%2005%20Avril%202026.pdf" TargetMode="External"/><Relationship Id="rId83" Type="http://schemas.openxmlformats.org/officeDocument/2006/relationships/hyperlink" Target="https://www.ffbsq.fr/_ffbsq/CNB/Competitions/2026/TOURNOIS%20PRIVES/REGLEMENTS%20TOURNOIS/MAI%202026/R%C3%A9glement%2Bbilan%20Vfinale2026.pdf" TargetMode="External"/><Relationship Id="rId88" Type="http://schemas.openxmlformats.org/officeDocument/2006/relationships/hyperlink" Target="https://www.ffbsq.fr/_ffbsq/CNB/Competitions/2026/TOURNOIS%20PRIVES/REGLEMENTS%20TOURNOIS/MAI%202026/Triplette%20petersen%20mai%202026%20Mai%202026.pdf" TargetMode="External"/><Relationship Id="rId111" Type="http://schemas.openxmlformats.org/officeDocument/2006/relationships/hyperlink" Target="https://www.ffbsq.fr/_ffbsq/CNB/Competitions/2026/TOURNOIS%20PRIVES/REGLEMENTS%20TOURNOIS/JUIN%202026/R%C3%A8glement%20triplette%20Valhalla%20Vire%20Normandie.pdf" TargetMode="External"/><Relationship Id="rId15" Type="http://schemas.openxmlformats.org/officeDocument/2006/relationships/hyperlink" Target="https://www.ffbsq.fr/_ffbsq/CNB/Competitions/2026/TOURNOIS%20PRIVES/REGLEMENTS%20TOURNOIS/OCTOBRE%202025/2%20-%202hp%2018.19%20octobre%202025.pdf" TargetMode="External"/><Relationship Id="rId36" Type="http://schemas.openxmlformats.org/officeDocument/2006/relationships/hyperlink" Target="https://www.ffbsq.fr/_ffbsq/CNB/Competitions/2026/TOURNOIS%20PRIVES/REGLEMENTS%20TOURNOIS/JANVIER%202026/1%20-%20Tournoi%204%20hcp%202425%20janvier%202026.pdf" TargetMode="External"/><Relationship Id="rId57" Type="http://schemas.openxmlformats.org/officeDocument/2006/relationships/hyperlink" Target="https://www.ffbsq.fr/_ffbsq/CNB/Competitions/2026/TOURNOIS%20PRIVES/REGLEMENTS%20TOURNOIS/AVRIL%202026/2%20-%20Tournoi%20THE%20RACE%201%20hcp%201112%20avril%202026.pdf" TargetMode="External"/><Relationship Id="rId106" Type="http://schemas.openxmlformats.org/officeDocument/2006/relationships/hyperlink" Target="https://www.ffbsq.fr/_ffbsq/CNB/Competitions/2026/TOURNOIS%20PRIVES/REGLEMENTS%20TOURNOIS/JUIN%202026/2026-06-28_La-Rochelle_Rglt_2-Mixte_Valide%E2%95%A0%C3%B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7F27C-4819-4FE5-8C6F-119DF22785F8}">
  <dimension ref="A1:J491"/>
  <sheetViews>
    <sheetView zoomScaleNormal="100" workbookViewId="0">
      <pane ySplit="1" topLeftCell="A151" activePane="bottomLeft" state="frozenSplit"/>
      <selection pane="bottomLeft" activeCell="J171" sqref="J171"/>
    </sheetView>
  </sheetViews>
  <sheetFormatPr baseColWidth="10" defaultColWidth="11.44140625" defaultRowHeight="13.2" outlineLevelRow="1" x14ac:dyDescent="0.25"/>
  <cols>
    <col min="1" max="1" width="12.44140625" style="129" customWidth="1"/>
    <col min="2" max="2" width="49.6640625" style="4" customWidth="1"/>
    <col min="3" max="3" width="12.33203125" style="3" customWidth="1"/>
    <col min="4" max="4" width="26.44140625" style="6" customWidth="1"/>
    <col min="5" max="5" width="8.44140625" style="3" customWidth="1"/>
    <col min="6" max="6" width="9.44140625" style="3" customWidth="1"/>
    <col min="7" max="7" width="12.6640625" style="5" customWidth="1"/>
    <col min="8" max="8" width="17.109375" style="3" customWidth="1"/>
    <col min="9" max="9" width="4.44140625" style="3" customWidth="1"/>
    <col min="10" max="16384" width="11.44140625" style="3"/>
  </cols>
  <sheetData>
    <row r="1" spans="1:8" ht="20.399999999999999" customHeight="1" thickBot="1" x14ac:dyDescent="0.3">
      <c r="A1" s="79" t="s">
        <v>0</v>
      </c>
      <c r="B1" s="1" t="s">
        <v>25</v>
      </c>
      <c r="C1" s="16" t="s">
        <v>26</v>
      </c>
      <c r="D1" s="1" t="s">
        <v>27</v>
      </c>
      <c r="E1" s="1" t="s">
        <v>28</v>
      </c>
      <c r="F1" s="1" t="s">
        <v>29</v>
      </c>
      <c r="G1" s="2" t="s">
        <v>30</v>
      </c>
      <c r="H1" s="1" t="s">
        <v>31</v>
      </c>
    </row>
    <row r="2" spans="1:8" ht="13.2" hidden="1" customHeight="1" outlineLevel="1" x14ac:dyDescent="0.25">
      <c r="D2" s="110" t="s">
        <v>226</v>
      </c>
    </row>
    <row r="3" spans="1:8" ht="13.2" hidden="1" customHeight="1" outlineLevel="1" x14ac:dyDescent="0.25">
      <c r="D3" s="30" t="s">
        <v>118</v>
      </c>
    </row>
    <row r="4" spans="1:8" ht="13.2" hidden="1" customHeight="1" outlineLevel="1" x14ac:dyDescent="0.25">
      <c r="D4" s="29" t="s">
        <v>124</v>
      </c>
    </row>
    <row r="5" spans="1:8" ht="13.2" hidden="1" customHeight="1" outlineLevel="1" x14ac:dyDescent="0.25">
      <c r="D5" s="29" t="s">
        <v>416</v>
      </c>
    </row>
    <row r="6" spans="1:8" ht="13.2" hidden="1" customHeight="1" outlineLevel="1" x14ac:dyDescent="0.25">
      <c r="D6" s="15" t="s">
        <v>179</v>
      </c>
    </row>
    <row r="7" spans="1:8" ht="13.2" hidden="1" customHeight="1" outlineLevel="1" x14ac:dyDescent="0.25">
      <c r="D7" s="15" t="s">
        <v>121</v>
      </c>
    </row>
    <row r="8" spans="1:8" ht="13.2" hidden="1" customHeight="1" outlineLevel="1" x14ac:dyDescent="0.25">
      <c r="D8" s="112" t="s">
        <v>288</v>
      </c>
    </row>
    <row r="9" spans="1:8" ht="13.2" hidden="1" customHeight="1" outlineLevel="1" x14ac:dyDescent="0.25">
      <c r="D9" s="30" t="s">
        <v>114</v>
      </c>
    </row>
    <row r="10" spans="1:8" ht="13.2" hidden="1" customHeight="1" outlineLevel="1" x14ac:dyDescent="0.25">
      <c r="D10" s="30" t="s">
        <v>117</v>
      </c>
    </row>
    <row r="11" spans="1:8" ht="13.2" hidden="1" customHeight="1" outlineLevel="1" x14ac:dyDescent="0.25">
      <c r="D11" s="29" t="s">
        <v>128</v>
      </c>
    </row>
    <row r="12" spans="1:8" ht="13.2" hidden="1" customHeight="1" outlineLevel="1" x14ac:dyDescent="0.25">
      <c r="D12" s="29" t="s">
        <v>277</v>
      </c>
    </row>
    <row r="13" spans="1:8" ht="13.2" hidden="1" customHeight="1" outlineLevel="1" x14ac:dyDescent="0.25">
      <c r="D13" s="15" t="s">
        <v>126</v>
      </c>
    </row>
    <row r="14" spans="1:8" ht="13.2" hidden="1" customHeight="1" outlineLevel="1" x14ac:dyDescent="0.25">
      <c r="D14" s="15" t="s">
        <v>123</v>
      </c>
    </row>
    <row r="15" spans="1:8" ht="13.2" hidden="1" customHeight="1" outlineLevel="1" x14ac:dyDescent="0.25">
      <c r="D15" s="15" t="s">
        <v>328</v>
      </c>
    </row>
    <row r="16" spans="1:8" ht="13.2" hidden="1" customHeight="1" outlineLevel="1" x14ac:dyDescent="0.25">
      <c r="D16" s="15" t="s">
        <v>419</v>
      </c>
    </row>
    <row r="17" spans="4:4" ht="13.2" hidden="1" customHeight="1" outlineLevel="1" x14ac:dyDescent="0.25">
      <c r="D17" s="29" t="s">
        <v>261</v>
      </c>
    </row>
    <row r="18" spans="4:4" ht="13.2" hidden="1" customHeight="1" outlineLevel="1" x14ac:dyDescent="0.25">
      <c r="D18" s="110" t="s">
        <v>230</v>
      </c>
    </row>
    <row r="19" spans="4:4" ht="13.2" hidden="1" customHeight="1" outlineLevel="1" x14ac:dyDescent="0.25">
      <c r="D19" s="29" t="s">
        <v>269</v>
      </c>
    </row>
    <row r="20" spans="4:4" ht="13.2" hidden="1" customHeight="1" outlineLevel="1" x14ac:dyDescent="0.25">
      <c r="D20" s="15" t="s">
        <v>178</v>
      </c>
    </row>
    <row r="21" spans="4:4" ht="13.2" hidden="1" customHeight="1" outlineLevel="1" x14ac:dyDescent="0.25">
      <c r="D21" s="15" t="s">
        <v>217</v>
      </c>
    </row>
    <row r="22" spans="4:4" ht="13.2" hidden="1" customHeight="1" outlineLevel="1" x14ac:dyDescent="0.25">
      <c r="D22" s="112" t="s">
        <v>231</v>
      </c>
    </row>
    <row r="23" spans="4:4" ht="13.2" hidden="1" customHeight="1" outlineLevel="1" x14ac:dyDescent="0.25">
      <c r="D23" s="29" t="s">
        <v>129</v>
      </c>
    </row>
    <row r="24" spans="4:4" ht="13.2" hidden="1" customHeight="1" outlineLevel="1" x14ac:dyDescent="0.25">
      <c r="D24" s="15" t="s">
        <v>125</v>
      </c>
    </row>
    <row r="25" spans="4:4" ht="13.2" hidden="1" customHeight="1" outlineLevel="1" x14ac:dyDescent="0.25">
      <c r="D25" s="15" t="s">
        <v>262</v>
      </c>
    </row>
    <row r="26" spans="4:4" ht="13.2" hidden="1" customHeight="1" outlineLevel="1" x14ac:dyDescent="0.25">
      <c r="D26" s="29" t="s">
        <v>223</v>
      </c>
    </row>
    <row r="27" spans="4:4" ht="13.2" hidden="1" customHeight="1" outlineLevel="1" x14ac:dyDescent="0.25">
      <c r="D27" s="29" t="s">
        <v>130</v>
      </c>
    </row>
    <row r="28" spans="4:4" ht="13.2" hidden="1" customHeight="1" outlineLevel="1" x14ac:dyDescent="0.25">
      <c r="D28" s="29" t="s">
        <v>131</v>
      </c>
    </row>
    <row r="29" spans="4:4" ht="13.2" hidden="1" customHeight="1" outlineLevel="1" x14ac:dyDescent="0.25">
      <c r="D29" s="110" t="s">
        <v>634</v>
      </c>
    </row>
    <row r="30" spans="4:4" ht="13.2" hidden="1" customHeight="1" outlineLevel="1" x14ac:dyDescent="0.25">
      <c r="D30" s="29" t="s">
        <v>132</v>
      </c>
    </row>
    <row r="31" spans="4:4" ht="13.2" hidden="1" customHeight="1" outlineLevel="1" x14ac:dyDescent="0.25">
      <c r="D31" s="30" t="s">
        <v>122</v>
      </c>
    </row>
    <row r="32" spans="4:4" ht="13.2" hidden="1" customHeight="1" outlineLevel="1" x14ac:dyDescent="0.25">
      <c r="D32" s="29" t="s">
        <v>133</v>
      </c>
    </row>
    <row r="33" spans="1:9" ht="13.2" hidden="1" customHeight="1" outlineLevel="1" x14ac:dyDescent="0.25">
      <c r="D33" s="110" t="s">
        <v>255</v>
      </c>
    </row>
    <row r="34" spans="1:9" ht="13.2" hidden="1" customHeight="1" outlineLevel="1" x14ac:dyDescent="0.25">
      <c r="D34" s="29" t="s">
        <v>323</v>
      </c>
    </row>
    <row r="35" spans="1:9" ht="13.2" hidden="1" customHeight="1" outlineLevel="1" x14ac:dyDescent="0.25">
      <c r="D35" s="15" t="s">
        <v>119</v>
      </c>
    </row>
    <row r="36" spans="1:9" ht="13.2" hidden="1" customHeight="1" outlineLevel="1" x14ac:dyDescent="0.25">
      <c r="D36" s="15" t="s">
        <v>268</v>
      </c>
    </row>
    <row r="37" spans="1:9" ht="13.2" hidden="1" customHeight="1" outlineLevel="1" x14ac:dyDescent="0.25">
      <c r="D37" s="116" t="s">
        <v>324</v>
      </c>
    </row>
    <row r="38" spans="1:9" ht="13.2" hidden="1" customHeight="1" outlineLevel="1" x14ac:dyDescent="0.25">
      <c r="D38" s="30" t="s">
        <v>415</v>
      </c>
    </row>
    <row r="39" spans="1:9" ht="13.2" hidden="1" customHeight="1" outlineLevel="1" x14ac:dyDescent="0.25">
      <c r="D39" s="30" t="s">
        <v>414</v>
      </c>
    </row>
    <row r="40" spans="1:9" ht="13.2" hidden="1" customHeight="1" outlineLevel="1" x14ac:dyDescent="0.25">
      <c r="D40" s="15" t="s">
        <v>263</v>
      </c>
    </row>
    <row r="41" spans="1:9" ht="13.2" hidden="1" customHeight="1" outlineLevel="1" x14ac:dyDescent="0.25">
      <c r="D41" s="15" t="s">
        <v>219</v>
      </c>
    </row>
    <row r="42" spans="1:9" ht="13.2" hidden="1" customHeight="1" outlineLevel="1" x14ac:dyDescent="0.25">
      <c r="D42" s="15" t="s">
        <v>120</v>
      </c>
    </row>
    <row r="43" spans="1:9" ht="13.2" hidden="1" customHeight="1" outlineLevel="1" x14ac:dyDescent="0.25">
      <c r="D43" s="15" t="s">
        <v>267</v>
      </c>
    </row>
    <row r="44" spans="1:9" ht="13.2" hidden="1" customHeight="1" outlineLevel="1" x14ac:dyDescent="0.25">
      <c r="D44" s="110" t="s">
        <v>224</v>
      </c>
    </row>
    <row r="45" spans="1:9" ht="13.2" hidden="1" customHeight="1" outlineLevel="1" x14ac:dyDescent="0.25">
      <c r="D45" s="29" t="s">
        <v>232</v>
      </c>
    </row>
    <row r="46" spans="1:9" ht="13.2" customHeight="1" collapsed="1" x14ac:dyDescent="0.25">
      <c r="A46" s="138"/>
      <c r="B46" s="95"/>
      <c r="C46" s="96"/>
      <c r="D46" s="97"/>
      <c r="E46" s="96"/>
      <c r="F46" s="96"/>
      <c r="G46" s="98"/>
      <c r="H46" s="96"/>
    </row>
    <row r="47" spans="1:9" s="19" customFormat="1" ht="13.2" customHeight="1" x14ac:dyDescent="0.25">
      <c r="A47" s="79">
        <v>45872</v>
      </c>
      <c r="B47" s="17" t="s">
        <v>266</v>
      </c>
      <c r="C47" s="19" t="s">
        <v>265</v>
      </c>
      <c r="D47" s="15" t="s">
        <v>120</v>
      </c>
      <c r="E47" s="3">
        <v>814</v>
      </c>
      <c r="F47" s="3">
        <v>4</v>
      </c>
      <c r="G47" s="5">
        <f>E47/F47</f>
        <v>203.5</v>
      </c>
      <c r="H47" s="19" t="s">
        <v>422</v>
      </c>
      <c r="I47" s="19">
        <v>1</v>
      </c>
    </row>
    <row r="48" spans="1:9" ht="13.2" customHeight="1" x14ac:dyDescent="0.25">
      <c r="A48" s="138"/>
      <c r="B48" s="95"/>
      <c r="C48" s="96"/>
      <c r="D48" s="97"/>
      <c r="E48" s="96"/>
      <c r="F48" s="96"/>
      <c r="G48" s="98"/>
      <c r="H48" s="96"/>
    </row>
    <row r="49" spans="1:9" x14ac:dyDescent="0.25">
      <c r="A49" s="79">
        <v>45874</v>
      </c>
      <c r="B49" s="17" t="s">
        <v>418</v>
      </c>
      <c r="C49" s="3" t="s">
        <v>185</v>
      </c>
      <c r="D49" s="15" t="s">
        <v>328</v>
      </c>
      <c r="E49" s="3">
        <v>1034</v>
      </c>
      <c r="F49" s="3">
        <v>5</v>
      </c>
      <c r="G49" s="5">
        <f t="shared" ref="G49:G50" si="0">E49/F49</f>
        <v>206.8</v>
      </c>
      <c r="H49" s="19" t="s">
        <v>421</v>
      </c>
    </row>
    <row r="50" spans="1:9" x14ac:dyDescent="0.25">
      <c r="B50" s="19" t="s">
        <v>292</v>
      </c>
      <c r="D50" s="29" t="s">
        <v>269</v>
      </c>
      <c r="E50" s="3">
        <v>799</v>
      </c>
      <c r="F50" s="3">
        <v>5</v>
      </c>
      <c r="G50" s="5">
        <f t="shared" si="0"/>
        <v>159.80000000000001</v>
      </c>
      <c r="I50" s="3">
        <v>3</v>
      </c>
    </row>
    <row r="51" spans="1:9" ht="13.2" customHeight="1" collapsed="1" x14ac:dyDescent="0.25">
      <c r="A51" s="138"/>
      <c r="B51" s="95"/>
      <c r="C51" s="96"/>
      <c r="D51" s="97"/>
      <c r="E51" s="96"/>
      <c r="F51" s="96"/>
      <c r="G51" s="98"/>
      <c r="H51" s="96"/>
    </row>
    <row r="52" spans="1:9" s="19" customFormat="1" ht="13.2" customHeight="1" x14ac:dyDescent="0.25">
      <c r="A52" s="79">
        <v>45879</v>
      </c>
      <c r="B52" s="17" t="s">
        <v>266</v>
      </c>
      <c r="C52" s="19" t="s">
        <v>265</v>
      </c>
      <c r="D52" s="15" t="s">
        <v>120</v>
      </c>
      <c r="E52" s="3">
        <v>770</v>
      </c>
      <c r="F52" s="3">
        <v>4</v>
      </c>
      <c r="G52" s="5">
        <f>E52/F52</f>
        <v>192.5</v>
      </c>
      <c r="H52" s="19" t="s">
        <v>423</v>
      </c>
      <c r="I52" s="19">
        <v>4</v>
      </c>
    </row>
    <row r="53" spans="1:9" ht="13.2" customHeight="1" x14ac:dyDescent="0.25">
      <c r="A53" s="156"/>
      <c r="B53" s="95"/>
      <c r="C53" s="96"/>
      <c r="D53" s="97"/>
      <c r="E53" s="96"/>
      <c r="F53" s="96"/>
      <c r="G53" s="98"/>
      <c r="H53" s="96"/>
    </row>
    <row r="54" spans="1:9" x14ac:dyDescent="0.25">
      <c r="A54" s="79">
        <v>45881</v>
      </c>
      <c r="B54" s="17" t="s">
        <v>418</v>
      </c>
      <c r="C54" s="3" t="s">
        <v>185</v>
      </c>
      <c r="D54" s="15" t="s">
        <v>328</v>
      </c>
      <c r="E54" s="3">
        <v>968</v>
      </c>
      <c r="F54" s="3">
        <v>5</v>
      </c>
      <c r="G54" s="5">
        <f t="shared" ref="G54:G57" si="1">E54/F54</f>
        <v>193.6</v>
      </c>
      <c r="H54" s="19" t="s">
        <v>421</v>
      </c>
    </row>
    <row r="55" spans="1:9" x14ac:dyDescent="0.25">
      <c r="B55" s="19" t="s">
        <v>292</v>
      </c>
      <c r="D55" s="29" t="s">
        <v>269</v>
      </c>
      <c r="E55" s="3">
        <v>769</v>
      </c>
      <c r="F55" s="3">
        <v>5</v>
      </c>
      <c r="G55" s="5">
        <f t="shared" si="1"/>
        <v>153.80000000000001</v>
      </c>
      <c r="I55" s="3">
        <v>6</v>
      </c>
    </row>
    <row r="56" spans="1:9" ht="13.2" customHeight="1" x14ac:dyDescent="0.25">
      <c r="A56" s="156"/>
      <c r="B56" s="95"/>
      <c r="C56" s="96"/>
      <c r="D56" s="97"/>
      <c r="E56" s="96"/>
      <c r="F56" s="96"/>
      <c r="G56" s="98"/>
      <c r="H56" s="96"/>
    </row>
    <row r="57" spans="1:9" x14ac:dyDescent="0.25">
      <c r="A57" s="79">
        <v>45893</v>
      </c>
      <c r="B57" s="17" t="s">
        <v>427</v>
      </c>
      <c r="C57" s="3" t="s">
        <v>184</v>
      </c>
      <c r="D57" s="15" t="s">
        <v>120</v>
      </c>
      <c r="E57" s="3">
        <v>2174</v>
      </c>
      <c r="F57" s="3">
        <v>11</v>
      </c>
      <c r="G57" s="5">
        <f t="shared" si="1"/>
        <v>197.63636363636363</v>
      </c>
      <c r="H57" s="19" t="s">
        <v>424</v>
      </c>
      <c r="I57" s="3">
        <v>7</v>
      </c>
    </row>
    <row r="58" spans="1:9" x14ac:dyDescent="0.25">
      <c r="B58" s="19" t="s">
        <v>292</v>
      </c>
      <c r="D58" s="230" t="s">
        <v>425</v>
      </c>
      <c r="E58" s="228"/>
      <c r="F58" s="228"/>
      <c r="G58" s="229"/>
      <c r="H58" s="228"/>
    </row>
    <row r="59" spans="1:9" x14ac:dyDescent="0.25">
      <c r="D59" s="190" t="s">
        <v>426</v>
      </c>
      <c r="E59" s="228"/>
      <c r="F59" s="228"/>
      <c r="G59" s="229"/>
      <c r="H59" s="228"/>
    </row>
    <row r="60" spans="1:9" ht="13.2" customHeight="1" x14ac:dyDescent="0.25">
      <c r="A60" s="138"/>
      <c r="B60" s="95"/>
      <c r="C60" s="96"/>
      <c r="D60" s="97"/>
      <c r="E60" s="96"/>
      <c r="F60" s="96"/>
      <c r="G60" s="98"/>
      <c r="H60" s="96"/>
    </row>
    <row r="61" spans="1:9" x14ac:dyDescent="0.25">
      <c r="A61" s="79">
        <v>45899</v>
      </c>
      <c r="B61" s="17" t="s">
        <v>321</v>
      </c>
      <c r="C61" s="19" t="s">
        <v>322</v>
      </c>
      <c r="D61" s="15" t="s">
        <v>178</v>
      </c>
      <c r="E61" s="3">
        <v>1868</v>
      </c>
      <c r="F61" s="3">
        <v>12</v>
      </c>
      <c r="G61" s="5">
        <f t="shared" ref="G61:G63" si="2">E61/F61</f>
        <v>155.66666666666666</v>
      </c>
    </row>
    <row r="62" spans="1:9" x14ac:dyDescent="0.25">
      <c r="B62" s="19" t="s">
        <v>429</v>
      </c>
      <c r="D62" s="15" t="s">
        <v>179</v>
      </c>
      <c r="E62" s="3">
        <v>1609</v>
      </c>
      <c r="F62" s="3">
        <v>12</v>
      </c>
      <c r="G62" s="5">
        <f t="shared" si="2"/>
        <v>134.08333333333334</v>
      </c>
      <c r="H62" s="3" t="s">
        <v>428</v>
      </c>
    </row>
    <row r="63" spans="1:9" x14ac:dyDescent="0.25">
      <c r="D63" s="15" t="s">
        <v>268</v>
      </c>
      <c r="E63" s="3">
        <v>1565</v>
      </c>
      <c r="F63" s="3">
        <v>12</v>
      </c>
      <c r="G63" s="5">
        <f t="shared" si="2"/>
        <v>130.41666666666666</v>
      </c>
      <c r="I63" s="3">
        <v>10</v>
      </c>
    </row>
    <row r="64" spans="1:9" ht="13.2" customHeight="1" x14ac:dyDescent="0.25">
      <c r="A64" s="156"/>
      <c r="B64" s="95"/>
      <c r="C64" s="96"/>
      <c r="D64" s="97"/>
      <c r="E64" s="96"/>
      <c r="F64" s="96"/>
      <c r="G64" s="98"/>
      <c r="H64" s="96"/>
    </row>
    <row r="65" spans="1:9" x14ac:dyDescent="0.25">
      <c r="A65" s="79">
        <v>45927</v>
      </c>
      <c r="B65" s="17" t="s">
        <v>264</v>
      </c>
      <c r="C65" s="19" t="s">
        <v>265</v>
      </c>
      <c r="D65" s="15" t="s">
        <v>120</v>
      </c>
      <c r="E65" s="3">
        <v>761</v>
      </c>
      <c r="F65" s="3">
        <v>4</v>
      </c>
      <c r="G65" s="5">
        <f t="shared" ref="G65:G67" si="3">E65/F65</f>
        <v>190.25</v>
      </c>
      <c r="H65" s="19" t="s">
        <v>717</v>
      </c>
    </row>
    <row r="66" spans="1:9" x14ac:dyDescent="0.25">
      <c r="A66" s="79"/>
      <c r="B66" s="17"/>
      <c r="C66" s="19"/>
      <c r="D66" s="110" t="s">
        <v>230</v>
      </c>
      <c r="E66" s="19">
        <v>749</v>
      </c>
      <c r="F66" s="19">
        <v>4</v>
      </c>
      <c r="G66" s="5">
        <f t="shared" si="3"/>
        <v>187.25</v>
      </c>
      <c r="H66" s="19" t="s">
        <v>718</v>
      </c>
    </row>
    <row r="67" spans="1:9" x14ac:dyDescent="0.25">
      <c r="A67" s="79"/>
      <c r="B67" s="17"/>
      <c r="C67" s="19"/>
      <c r="D67" s="30" t="s">
        <v>118</v>
      </c>
      <c r="E67" s="3">
        <v>662</v>
      </c>
      <c r="F67" s="3">
        <v>4</v>
      </c>
      <c r="G67" s="5">
        <f t="shared" si="3"/>
        <v>165.5</v>
      </c>
      <c r="H67" s="19" t="s">
        <v>719</v>
      </c>
      <c r="I67" s="3">
        <v>13</v>
      </c>
    </row>
    <row r="68" spans="1:9" ht="13.2" customHeight="1" x14ac:dyDescent="0.25">
      <c r="A68" s="138"/>
      <c r="B68" s="95"/>
      <c r="C68" s="96"/>
      <c r="D68" s="97"/>
      <c r="E68" s="96"/>
      <c r="F68" s="96"/>
      <c r="G68" s="98"/>
      <c r="H68" s="96"/>
    </row>
    <row r="69" spans="1:9" x14ac:dyDescent="0.25">
      <c r="A69" s="79">
        <v>45941</v>
      </c>
      <c r="B69" s="17" t="s">
        <v>264</v>
      </c>
      <c r="C69" s="19" t="s">
        <v>265</v>
      </c>
      <c r="D69" s="30" t="s">
        <v>118</v>
      </c>
      <c r="E69" s="3">
        <v>589</v>
      </c>
      <c r="F69" s="3">
        <v>4</v>
      </c>
      <c r="G69" s="5">
        <f t="shared" ref="G69" si="4">E69/F69</f>
        <v>147.25</v>
      </c>
      <c r="H69" s="19" t="s">
        <v>716</v>
      </c>
      <c r="I69" s="3">
        <v>14</v>
      </c>
    </row>
    <row r="70" spans="1:9" ht="13.2" customHeight="1" x14ac:dyDescent="0.25">
      <c r="A70" s="138"/>
      <c r="B70" s="95"/>
      <c r="C70" s="96"/>
      <c r="D70" s="97"/>
      <c r="E70" s="96"/>
      <c r="F70" s="96"/>
      <c r="G70" s="98"/>
      <c r="H70" s="96"/>
    </row>
    <row r="71" spans="1:9" x14ac:dyDescent="0.25">
      <c r="A71" s="79">
        <v>45943</v>
      </c>
      <c r="B71" s="17" t="s">
        <v>156</v>
      </c>
      <c r="C71" s="19" t="s">
        <v>185</v>
      </c>
      <c r="D71" s="110" t="s">
        <v>230</v>
      </c>
      <c r="E71" s="17">
        <v>2777</v>
      </c>
      <c r="F71" s="19">
        <v>16</v>
      </c>
      <c r="G71" s="5">
        <f t="shared" ref="G71:G98" si="5">E71/F71</f>
        <v>173.5625</v>
      </c>
      <c r="H71" s="102" t="s">
        <v>639</v>
      </c>
    </row>
    <row r="72" spans="1:9" x14ac:dyDescent="0.25">
      <c r="B72" s="17" t="s">
        <v>157</v>
      </c>
      <c r="D72" s="15" t="s">
        <v>120</v>
      </c>
      <c r="E72" s="17">
        <v>758</v>
      </c>
      <c r="F72" s="19">
        <v>4</v>
      </c>
      <c r="G72" s="5">
        <f t="shared" si="5"/>
        <v>189.5</v>
      </c>
      <c r="H72" s="101" t="s">
        <v>659</v>
      </c>
    </row>
    <row r="73" spans="1:9" x14ac:dyDescent="0.25">
      <c r="B73" s="19" t="s">
        <v>292</v>
      </c>
      <c r="D73" s="15" t="s">
        <v>126</v>
      </c>
      <c r="E73" s="17">
        <v>1368</v>
      </c>
      <c r="F73" s="19">
        <v>8</v>
      </c>
      <c r="G73" s="5">
        <f t="shared" si="5"/>
        <v>171</v>
      </c>
      <c r="H73" s="101" t="s">
        <v>659</v>
      </c>
    </row>
    <row r="74" spans="1:9" x14ac:dyDescent="0.25">
      <c r="B74" s="19"/>
      <c r="D74" s="29" t="s">
        <v>130</v>
      </c>
      <c r="E74" s="17">
        <v>1271</v>
      </c>
      <c r="F74" s="19">
        <v>8</v>
      </c>
      <c r="G74" s="5">
        <f t="shared" si="5"/>
        <v>158.875</v>
      </c>
      <c r="H74" s="101" t="s">
        <v>659</v>
      </c>
    </row>
    <row r="75" spans="1:9" x14ac:dyDescent="0.25">
      <c r="B75" s="19"/>
      <c r="D75" s="15" t="s">
        <v>217</v>
      </c>
      <c r="E75" s="17">
        <v>1149</v>
      </c>
      <c r="F75" s="19">
        <v>8</v>
      </c>
      <c r="G75" s="5">
        <f t="shared" si="5"/>
        <v>143.625</v>
      </c>
      <c r="H75" s="102" t="s">
        <v>660</v>
      </c>
    </row>
    <row r="76" spans="1:9" x14ac:dyDescent="0.25">
      <c r="B76" s="19"/>
      <c r="D76" s="30" t="s">
        <v>114</v>
      </c>
      <c r="E76" s="17">
        <v>2634</v>
      </c>
      <c r="F76" s="19">
        <v>16</v>
      </c>
      <c r="G76" s="5">
        <f t="shared" si="5"/>
        <v>164.625</v>
      </c>
      <c r="H76" s="101" t="s">
        <v>661</v>
      </c>
    </row>
    <row r="77" spans="1:9" x14ac:dyDescent="0.25">
      <c r="B77" s="19"/>
      <c r="D77" s="29" t="s">
        <v>131</v>
      </c>
      <c r="E77" s="17">
        <v>1862</v>
      </c>
      <c r="F77" s="19">
        <v>12</v>
      </c>
      <c r="G77" s="5">
        <f t="shared" si="5"/>
        <v>155.16666666666666</v>
      </c>
      <c r="H77" s="101" t="s">
        <v>661</v>
      </c>
    </row>
    <row r="78" spans="1:9" x14ac:dyDescent="0.25">
      <c r="B78" s="19"/>
      <c r="D78" s="30" t="s">
        <v>117</v>
      </c>
      <c r="E78" s="17">
        <v>1809</v>
      </c>
      <c r="F78" s="19">
        <v>12</v>
      </c>
      <c r="G78" s="5">
        <f t="shared" si="5"/>
        <v>150.75</v>
      </c>
      <c r="H78" s="101" t="s">
        <v>661</v>
      </c>
    </row>
    <row r="79" spans="1:9" x14ac:dyDescent="0.25">
      <c r="B79" s="19"/>
      <c r="D79" s="15" t="s">
        <v>263</v>
      </c>
      <c r="E79" s="17">
        <v>1819</v>
      </c>
      <c r="F79" s="19">
        <v>12</v>
      </c>
      <c r="G79" s="5">
        <f t="shared" si="5"/>
        <v>151.58333333333334</v>
      </c>
      <c r="H79" s="102" t="s">
        <v>662</v>
      </c>
    </row>
    <row r="80" spans="1:9" x14ac:dyDescent="0.25">
      <c r="B80" s="19"/>
      <c r="D80" s="15" t="s">
        <v>268</v>
      </c>
      <c r="E80" s="17">
        <v>1556</v>
      </c>
      <c r="F80" s="19">
        <v>12</v>
      </c>
      <c r="G80" s="5">
        <f t="shared" si="5"/>
        <v>129.66666666666666</v>
      </c>
      <c r="H80" s="102" t="s">
        <v>662</v>
      </c>
    </row>
    <row r="81" spans="2:8" x14ac:dyDescent="0.25">
      <c r="B81" s="19"/>
      <c r="D81" s="30" t="s">
        <v>122</v>
      </c>
      <c r="E81" s="17">
        <v>2038</v>
      </c>
      <c r="F81" s="19">
        <v>12</v>
      </c>
      <c r="G81" s="5">
        <f t="shared" si="5"/>
        <v>169.83333333333334</v>
      </c>
      <c r="H81" s="101" t="s">
        <v>638</v>
      </c>
    </row>
    <row r="82" spans="2:8" x14ac:dyDescent="0.25">
      <c r="B82" s="19"/>
      <c r="D82" s="29" t="s">
        <v>223</v>
      </c>
      <c r="E82" s="17">
        <v>1214</v>
      </c>
      <c r="F82" s="19">
        <v>8</v>
      </c>
      <c r="G82" s="5">
        <f t="shared" si="5"/>
        <v>151.75</v>
      </c>
      <c r="H82" s="101" t="s">
        <v>638</v>
      </c>
    </row>
    <row r="83" spans="2:8" x14ac:dyDescent="0.25">
      <c r="B83" s="19"/>
      <c r="D83" s="29" t="s">
        <v>132</v>
      </c>
      <c r="E83" s="17">
        <v>1810</v>
      </c>
      <c r="F83" s="19">
        <v>12</v>
      </c>
      <c r="G83" s="5">
        <f t="shared" si="5"/>
        <v>150.83333333333334</v>
      </c>
      <c r="H83" s="101" t="s">
        <v>638</v>
      </c>
    </row>
    <row r="84" spans="2:8" x14ac:dyDescent="0.25">
      <c r="B84" s="19"/>
      <c r="D84" s="15" t="s">
        <v>125</v>
      </c>
      <c r="E84" s="17">
        <v>2344</v>
      </c>
      <c r="F84" s="19">
        <v>16</v>
      </c>
      <c r="G84" s="5">
        <f t="shared" si="5"/>
        <v>146.5</v>
      </c>
      <c r="H84" s="101" t="s">
        <v>638</v>
      </c>
    </row>
    <row r="85" spans="2:8" x14ac:dyDescent="0.25">
      <c r="B85" s="19"/>
      <c r="D85" s="30" t="s">
        <v>414</v>
      </c>
      <c r="E85" s="17">
        <v>2396</v>
      </c>
      <c r="F85" s="19">
        <v>16</v>
      </c>
      <c r="G85" s="5">
        <f t="shared" si="5"/>
        <v>149.75</v>
      </c>
      <c r="H85" s="102" t="s">
        <v>663</v>
      </c>
    </row>
    <row r="86" spans="2:8" x14ac:dyDescent="0.25">
      <c r="B86" s="19"/>
      <c r="D86" s="30" t="s">
        <v>415</v>
      </c>
      <c r="E86" s="17">
        <v>2174</v>
      </c>
      <c r="F86" s="19">
        <v>16</v>
      </c>
      <c r="G86" s="5">
        <f t="shared" si="5"/>
        <v>135.875</v>
      </c>
      <c r="H86" s="102" t="s">
        <v>663</v>
      </c>
    </row>
    <row r="87" spans="2:8" x14ac:dyDescent="0.25">
      <c r="D87" s="15" t="s">
        <v>121</v>
      </c>
      <c r="E87" s="17">
        <v>1448</v>
      </c>
      <c r="F87" s="19">
        <v>8</v>
      </c>
      <c r="G87" s="5">
        <f t="shared" si="5"/>
        <v>181</v>
      </c>
      <c r="H87" s="101" t="s">
        <v>686</v>
      </c>
    </row>
    <row r="88" spans="2:8" x14ac:dyDescent="0.25">
      <c r="D88" s="29" t="s">
        <v>124</v>
      </c>
      <c r="E88" s="17">
        <v>1858</v>
      </c>
      <c r="F88" s="19">
        <v>12</v>
      </c>
      <c r="G88" s="5">
        <f t="shared" si="5"/>
        <v>154.83333333333334</v>
      </c>
      <c r="H88" s="101" t="s">
        <v>686</v>
      </c>
    </row>
    <row r="89" spans="2:8" x14ac:dyDescent="0.25">
      <c r="D89" s="30" t="s">
        <v>118</v>
      </c>
      <c r="E89" s="17">
        <v>2446</v>
      </c>
      <c r="F89" s="19">
        <v>16</v>
      </c>
      <c r="G89" s="5">
        <f t="shared" si="5"/>
        <v>152.875</v>
      </c>
      <c r="H89" s="101" t="s">
        <v>686</v>
      </c>
    </row>
    <row r="90" spans="2:8" x14ac:dyDescent="0.25">
      <c r="B90" s="19"/>
      <c r="D90" s="29" t="s">
        <v>277</v>
      </c>
      <c r="E90" s="17">
        <v>535</v>
      </c>
      <c r="F90" s="19">
        <v>4</v>
      </c>
      <c r="G90" s="5">
        <f t="shared" si="5"/>
        <v>133.75</v>
      </c>
      <c r="H90" s="101" t="s">
        <v>686</v>
      </c>
    </row>
    <row r="91" spans="2:8" x14ac:dyDescent="0.25">
      <c r="B91" s="19"/>
      <c r="D91" s="29" t="s">
        <v>128</v>
      </c>
      <c r="E91" s="17">
        <v>1029</v>
      </c>
      <c r="F91" s="19">
        <v>8</v>
      </c>
      <c r="G91" s="5">
        <f t="shared" si="5"/>
        <v>128.625</v>
      </c>
      <c r="H91" s="101" t="s">
        <v>686</v>
      </c>
    </row>
    <row r="92" spans="2:8" x14ac:dyDescent="0.25">
      <c r="B92" s="19"/>
      <c r="D92" s="29" t="s">
        <v>129</v>
      </c>
      <c r="E92" s="17">
        <v>1775</v>
      </c>
      <c r="F92" s="19">
        <v>12</v>
      </c>
      <c r="G92" s="5">
        <f t="shared" si="5"/>
        <v>147.91666666666666</v>
      </c>
      <c r="H92" s="102" t="s">
        <v>687</v>
      </c>
    </row>
    <row r="93" spans="2:8" x14ac:dyDescent="0.25">
      <c r="B93" s="19"/>
      <c r="D93" s="15" t="s">
        <v>178</v>
      </c>
      <c r="E93" s="17">
        <v>1762</v>
      </c>
      <c r="F93" s="19">
        <v>12</v>
      </c>
      <c r="G93" s="5">
        <f t="shared" si="5"/>
        <v>146.83333333333334</v>
      </c>
      <c r="H93" s="102" t="s">
        <v>687</v>
      </c>
    </row>
    <row r="94" spans="2:8" x14ac:dyDescent="0.25">
      <c r="B94" s="19"/>
      <c r="D94" s="15" t="s">
        <v>123</v>
      </c>
      <c r="E94" s="17">
        <v>1097</v>
      </c>
      <c r="F94" s="19">
        <v>8</v>
      </c>
      <c r="G94" s="5">
        <f t="shared" si="5"/>
        <v>137.125</v>
      </c>
      <c r="H94" s="102" t="s">
        <v>687</v>
      </c>
    </row>
    <row r="95" spans="2:8" x14ac:dyDescent="0.25">
      <c r="B95" s="19"/>
      <c r="D95" s="110" t="s">
        <v>622</v>
      </c>
      <c r="E95" s="17">
        <v>467</v>
      </c>
      <c r="F95" s="19">
        <v>4</v>
      </c>
      <c r="G95" s="5">
        <f t="shared" si="5"/>
        <v>116.75</v>
      </c>
      <c r="H95" s="102" t="s">
        <v>687</v>
      </c>
    </row>
    <row r="96" spans="2:8" x14ac:dyDescent="0.25">
      <c r="B96" s="19"/>
      <c r="D96" s="15" t="s">
        <v>179</v>
      </c>
      <c r="E96" s="17">
        <v>896</v>
      </c>
      <c r="F96" s="19">
        <v>8</v>
      </c>
      <c r="G96" s="5">
        <f t="shared" si="5"/>
        <v>112</v>
      </c>
      <c r="H96" s="102" t="s">
        <v>687</v>
      </c>
    </row>
    <row r="97" spans="1:10" x14ac:dyDescent="0.25">
      <c r="B97" s="19"/>
      <c r="D97" s="15" t="s">
        <v>645</v>
      </c>
      <c r="E97" s="17">
        <v>428</v>
      </c>
      <c r="F97" s="19">
        <v>4</v>
      </c>
      <c r="G97" s="5">
        <f t="shared" si="5"/>
        <v>107</v>
      </c>
      <c r="H97" s="102" t="s">
        <v>687</v>
      </c>
    </row>
    <row r="98" spans="1:10" x14ac:dyDescent="0.25">
      <c r="B98" s="19"/>
      <c r="D98" s="29" t="s">
        <v>416</v>
      </c>
      <c r="E98" s="17">
        <v>730</v>
      </c>
      <c r="F98" s="19">
        <v>4</v>
      </c>
      <c r="G98" s="5">
        <f t="shared" si="5"/>
        <v>182.5</v>
      </c>
      <c r="H98" s="101" t="s">
        <v>688</v>
      </c>
      <c r="I98" s="3">
        <v>42</v>
      </c>
    </row>
    <row r="99" spans="1:10" ht="13.2" customHeight="1" x14ac:dyDescent="0.25">
      <c r="A99" s="138"/>
      <c r="B99" s="95"/>
      <c r="C99" s="96"/>
      <c r="D99" s="97"/>
      <c r="E99" s="96"/>
      <c r="F99" s="96"/>
      <c r="G99" s="98"/>
      <c r="H99" s="96"/>
    </row>
    <row r="100" spans="1:10" x14ac:dyDescent="0.25">
      <c r="A100" s="79">
        <v>45948</v>
      </c>
      <c r="B100" s="17" t="s">
        <v>264</v>
      </c>
      <c r="C100" s="19" t="s">
        <v>265</v>
      </c>
      <c r="D100" s="15" t="s">
        <v>120</v>
      </c>
      <c r="E100" s="19">
        <v>804</v>
      </c>
      <c r="F100" s="19">
        <v>4</v>
      </c>
      <c r="G100" s="5">
        <f t="shared" ref="G100" si="6">E100/F100</f>
        <v>201</v>
      </c>
      <c r="H100" s="19" t="s">
        <v>714</v>
      </c>
    </row>
    <row r="101" spans="1:10" x14ac:dyDescent="0.25">
      <c r="A101" s="79"/>
      <c r="B101" s="17"/>
      <c r="C101" s="19"/>
      <c r="D101" s="30" t="s">
        <v>118</v>
      </c>
      <c r="E101" s="3">
        <v>569</v>
      </c>
      <c r="F101" s="3">
        <v>4</v>
      </c>
      <c r="G101" s="5">
        <f t="shared" ref="G101" si="7">E101/F101</f>
        <v>142.25</v>
      </c>
      <c r="H101" s="19" t="s">
        <v>715</v>
      </c>
      <c r="I101" s="3">
        <v>44</v>
      </c>
    </row>
    <row r="102" spans="1:10" ht="13.2" customHeight="1" x14ac:dyDescent="0.25">
      <c r="A102" s="156"/>
      <c r="B102" s="95"/>
      <c r="C102" s="96"/>
      <c r="D102" s="97"/>
      <c r="E102" s="96"/>
      <c r="F102" s="96"/>
      <c r="G102" s="98"/>
      <c r="H102" s="96"/>
    </row>
    <row r="103" spans="1:10" x14ac:dyDescent="0.25">
      <c r="A103" s="79">
        <v>45955</v>
      </c>
      <c r="B103" s="17" t="s">
        <v>264</v>
      </c>
      <c r="C103" s="19" t="s">
        <v>265</v>
      </c>
      <c r="D103" s="29" t="s">
        <v>223</v>
      </c>
      <c r="E103" s="19">
        <v>671</v>
      </c>
      <c r="F103" s="19">
        <v>4</v>
      </c>
      <c r="G103" s="5">
        <f t="shared" ref="G103" si="8">E103/F103</f>
        <v>167.75</v>
      </c>
      <c r="H103" s="19" t="s">
        <v>713</v>
      </c>
      <c r="I103" s="3">
        <v>45</v>
      </c>
    </row>
    <row r="104" spans="1:10" ht="13.2" customHeight="1" x14ac:dyDescent="0.25">
      <c r="A104" s="138"/>
      <c r="B104" s="95"/>
      <c r="C104" s="96"/>
      <c r="D104" s="97"/>
      <c r="E104" s="96"/>
      <c r="F104" s="96"/>
      <c r="G104" s="98"/>
      <c r="H104" s="96"/>
    </row>
    <row r="105" spans="1:10" s="19" customFormat="1" x14ac:dyDescent="0.25">
      <c r="A105" s="79">
        <v>45962</v>
      </c>
      <c r="B105" s="17" t="s">
        <v>264</v>
      </c>
      <c r="C105" s="19" t="s">
        <v>265</v>
      </c>
      <c r="D105" s="15" t="s">
        <v>263</v>
      </c>
      <c r="E105" s="19">
        <v>599</v>
      </c>
      <c r="F105" s="19">
        <v>4</v>
      </c>
      <c r="G105" s="5">
        <f t="shared" ref="G105:G112" si="9">E105/F105</f>
        <v>149.75</v>
      </c>
      <c r="H105" s="19" t="s">
        <v>712</v>
      </c>
      <c r="I105" s="19">
        <v>46</v>
      </c>
      <c r="J105" s="3"/>
    </row>
    <row r="106" spans="1:10" x14ac:dyDescent="0.25">
      <c r="A106" s="138"/>
      <c r="B106" s="95"/>
      <c r="C106" s="96"/>
      <c r="D106" s="97"/>
      <c r="E106" s="96"/>
      <c r="F106" s="96"/>
      <c r="G106" s="98"/>
      <c r="H106" s="96"/>
    </row>
    <row r="107" spans="1:10" x14ac:dyDescent="0.25">
      <c r="A107" s="79">
        <v>45980</v>
      </c>
      <c r="B107" s="17" t="s">
        <v>335</v>
      </c>
      <c r="C107" s="19" t="s">
        <v>341</v>
      </c>
      <c r="D107" s="15" t="s">
        <v>328</v>
      </c>
      <c r="E107" s="3">
        <v>2726</v>
      </c>
      <c r="F107" s="3">
        <v>16</v>
      </c>
      <c r="G107" s="5">
        <f t="shared" si="9"/>
        <v>170.375</v>
      </c>
      <c r="H107" s="101"/>
    </row>
    <row r="108" spans="1:10" x14ac:dyDescent="0.25">
      <c r="B108" s="17" t="s">
        <v>689</v>
      </c>
      <c r="C108" s="19"/>
      <c r="D108" s="15" t="s">
        <v>219</v>
      </c>
      <c r="E108" s="3">
        <v>1864</v>
      </c>
      <c r="F108" s="3">
        <v>12</v>
      </c>
      <c r="G108" s="5">
        <f t="shared" si="9"/>
        <v>155.33333333333334</v>
      </c>
      <c r="H108" s="101" t="s">
        <v>662</v>
      </c>
    </row>
    <row r="109" spans="1:10" s="19" customFormat="1" ht="13.2" customHeight="1" x14ac:dyDescent="0.25">
      <c r="A109" s="129"/>
      <c r="B109" s="17"/>
      <c r="D109" s="29" t="s">
        <v>269</v>
      </c>
      <c r="E109" s="3">
        <v>1274</v>
      </c>
      <c r="F109" s="3">
        <v>8</v>
      </c>
      <c r="G109" s="5">
        <f t="shared" si="9"/>
        <v>159.25</v>
      </c>
      <c r="H109" s="101"/>
    </row>
    <row r="110" spans="1:10" s="19" customFormat="1" ht="13.2" customHeight="1" x14ac:dyDescent="0.25">
      <c r="A110" s="129"/>
      <c r="B110" s="17"/>
      <c r="D110" s="15" t="s">
        <v>297</v>
      </c>
      <c r="E110" s="3">
        <v>1146</v>
      </c>
      <c r="F110" s="3">
        <v>8</v>
      </c>
      <c r="G110" s="5">
        <f t="shared" si="9"/>
        <v>143.25</v>
      </c>
      <c r="H110" s="101"/>
      <c r="I110" s="19">
        <v>50</v>
      </c>
    </row>
    <row r="111" spans="1:10" x14ac:dyDescent="0.25">
      <c r="A111" s="138"/>
      <c r="B111" s="95"/>
      <c r="C111" s="96"/>
      <c r="D111" s="97"/>
      <c r="E111" s="96"/>
      <c r="F111" s="96"/>
      <c r="G111" s="98"/>
      <c r="H111" s="96"/>
    </row>
    <row r="112" spans="1:10" x14ac:dyDescent="0.25">
      <c r="A112" s="79">
        <v>45981</v>
      </c>
      <c r="B112" s="17" t="s">
        <v>691</v>
      </c>
      <c r="C112" s="19" t="s">
        <v>341</v>
      </c>
      <c r="D112" s="15" t="s">
        <v>263</v>
      </c>
      <c r="E112" s="3">
        <v>1643</v>
      </c>
      <c r="F112" s="3">
        <v>12</v>
      </c>
      <c r="G112" s="5">
        <f t="shared" si="9"/>
        <v>136.91666666666666</v>
      </c>
      <c r="H112" s="101" t="s">
        <v>663</v>
      </c>
      <c r="I112" s="3">
        <v>51</v>
      </c>
    </row>
    <row r="113" spans="1:9" x14ac:dyDescent="0.25">
      <c r="B113" s="17" t="s">
        <v>689</v>
      </c>
      <c r="C113" s="19"/>
      <c r="D113" s="15"/>
      <c r="H113" s="101"/>
    </row>
    <row r="114" spans="1:9" x14ac:dyDescent="0.25">
      <c r="A114" s="138"/>
      <c r="B114" s="95"/>
      <c r="C114" s="96"/>
      <c r="D114" s="97"/>
      <c r="E114" s="96"/>
      <c r="F114" s="96"/>
      <c r="G114" s="98"/>
      <c r="H114" s="96"/>
    </row>
    <row r="115" spans="1:9" x14ac:dyDescent="0.25">
      <c r="A115" s="79">
        <v>45993</v>
      </c>
      <c r="B115" s="17" t="s">
        <v>234</v>
      </c>
      <c r="C115" s="19" t="s">
        <v>185</v>
      </c>
      <c r="D115" s="15" t="s">
        <v>328</v>
      </c>
      <c r="E115" s="3">
        <v>2268</v>
      </c>
      <c r="F115" s="3">
        <v>12</v>
      </c>
      <c r="G115" s="5">
        <f t="shared" ref="G115:G118" si="10">E115/F115</f>
        <v>189</v>
      </c>
      <c r="H115" s="101"/>
    </row>
    <row r="116" spans="1:9" x14ac:dyDescent="0.25">
      <c r="B116" s="17" t="s">
        <v>236</v>
      </c>
      <c r="C116" s="19"/>
      <c r="D116" s="15" t="s">
        <v>219</v>
      </c>
      <c r="E116" s="3">
        <v>2388</v>
      </c>
      <c r="F116" s="3">
        <v>15</v>
      </c>
      <c r="G116" s="5">
        <f t="shared" si="10"/>
        <v>159.19999999999999</v>
      </c>
      <c r="H116" s="101" t="s">
        <v>639</v>
      </c>
    </row>
    <row r="117" spans="1:9" x14ac:dyDescent="0.25">
      <c r="A117" s="3"/>
      <c r="B117" s="3"/>
      <c r="D117" s="29" t="s">
        <v>269</v>
      </c>
      <c r="E117" s="3">
        <v>2479</v>
      </c>
      <c r="F117" s="3">
        <v>15</v>
      </c>
      <c r="G117" s="5">
        <f t="shared" si="10"/>
        <v>165.26666666666668</v>
      </c>
      <c r="H117" s="101"/>
    </row>
    <row r="118" spans="1:9" x14ac:dyDescent="0.25">
      <c r="B118" s="17"/>
      <c r="C118" s="19"/>
      <c r="D118" s="29" t="s">
        <v>131</v>
      </c>
      <c r="E118" s="3">
        <v>1494</v>
      </c>
      <c r="F118" s="3">
        <v>9</v>
      </c>
      <c r="G118" s="5">
        <f t="shared" si="10"/>
        <v>166</v>
      </c>
      <c r="H118" s="102" t="s">
        <v>421</v>
      </c>
      <c r="I118" s="3">
        <v>55</v>
      </c>
    </row>
    <row r="119" spans="1:9" x14ac:dyDescent="0.25">
      <c r="A119" s="138"/>
      <c r="B119" s="95"/>
      <c r="C119" s="96"/>
      <c r="D119" s="97"/>
      <c r="E119" s="96"/>
      <c r="F119" s="96"/>
      <c r="G119" s="98"/>
      <c r="H119" s="96"/>
    </row>
    <row r="120" spans="1:9" x14ac:dyDescent="0.25">
      <c r="A120" s="79">
        <v>45994</v>
      </c>
      <c r="B120" s="17" t="s">
        <v>233</v>
      </c>
      <c r="C120" s="19" t="s">
        <v>184</v>
      </c>
      <c r="D120" s="15" t="s">
        <v>328</v>
      </c>
      <c r="E120" s="3">
        <v>2671</v>
      </c>
      <c r="F120" s="3">
        <v>16</v>
      </c>
      <c r="G120" s="5">
        <f t="shared" ref="G120:G126" si="11">E120/F120</f>
        <v>166.9375</v>
      </c>
      <c r="H120" s="101"/>
    </row>
    <row r="121" spans="1:9" x14ac:dyDescent="0.25">
      <c r="B121" s="17" t="s">
        <v>236</v>
      </c>
      <c r="C121" s="19"/>
      <c r="D121" s="15" t="s">
        <v>178</v>
      </c>
      <c r="E121" s="3">
        <v>2906</v>
      </c>
      <c r="F121" s="3">
        <v>20</v>
      </c>
      <c r="G121" s="5">
        <f t="shared" si="11"/>
        <v>145.30000000000001</v>
      </c>
      <c r="H121" s="101"/>
    </row>
    <row r="122" spans="1:9" x14ac:dyDescent="0.25">
      <c r="B122" s="17"/>
      <c r="C122" s="19"/>
      <c r="D122" s="30" t="s">
        <v>262</v>
      </c>
      <c r="E122" s="3">
        <v>2636</v>
      </c>
      <c r="F122" s="3">
        <v>16</v>
      </c>
      <c r="G122" s="5">
        <f t="shared" si="11"/>
        <v>164.75</v>
      </c>
      <c r="H122" s="101" t="s">
        <v>421</v>
      </c>
    </row>
    <row r="123" spans="1:9" x14ac:dyDescent="0.25">
      <c r="B123" s="17"/>
      <c r="C123" s="19"/>
      <c r="D123" s="15" t="s">
        <v>268</v>
      </c>
      <c r="E123" s="3">
        <v>2246</v>
      </c>
      <c r="F123" s="3">
        <v>16</v>
      </c>
      <c r="G123" s="5">
        <f t="shared" si="11"/>
        <v>140.375</v>
      </c>
      <c r="H123" s="101"/>
    </row>
    <row r="124" spans="1:9" x14ac:dyDescent="0.25">
      <c r="B124" s="17"/>
      <c r="C124" s="19"/>
      <c r="D124" s="15" t="s">
        <v>263</v>
      </c>
      <c r="E124" s="3">
        <v>2044</v>
      </c>
      <c r="F124" s="3">
        <v>16</v>
      </c>
      <c r="G124" s="5">
        <f t="shared" si="11"/>
        <v>127.75</v>
      </c>
      <c r="H124" s="101"/>
    </row>
    <row r="125" spans="1:9" x14ac:dyDescent="0.25">
      <c r="B125" s="17"/>
      <c r="C125" s="19"/>
      <c r="D125" s="15" t="s">
        <v>219</v>
      </c>
      <c r="E125" s="3">
        <v>1869</v>
      </c>
      <c r="F125" s="3">
        <v>12</v>
      </c>
      <c r="G125" s="5">
        <f t="shared" si="11"/>
        <v>155.75</v>
      </c>
      <c r="H125" s="101"/>
    </row>
    <row r="126" spans="1:9" x14ac:dyDescent="0.25">
      <c r="B126" s="17"/>
      <c r="C126" s="19"/>
      <c r="D126" s="15" t="s">
        <v>267</v>
      </c>
      <c r="E126" s="3">
        <v>2367</v>
      </c>
      <c r="F126" s="3">
        <v>16</v>
      </c>
      <c r="G126" s="5">
        <f t="shared" si="11"/>
        <v>147.9375</v>
      </c>
      <c r="H126" s="101"/>
      <c r="I126" s="3">
        <v>62</v>
      </c>
    </row>
    <row r="127" spans="1:9" x14ac:dyDescent="0.25">
      <c r="A127" s="138"/>
      <c r="B127" s="95"/>
      <c r="C127" s="96"/>
      <c r="D127" s="97"/>
      <c r="E127" s="96"/>
      <c r="F127" s="96"/>
      <c r="G127" s="98"/>
      <c r="H127" s="96"/>
    </row>
    <row r="128" spans="1:9" x14ac:dyDescent="0.25">
      <c r="A128" s="79">
        <v>46000</v>
      </c>
      <c r="B128" s="17" t="s">
        <v>172</v>
      </c>
      <c r="C128" s="19" t="s">
        <v>185</v>
      </c>
      <c r="D128" s="30" t="s">
        <v>262</v>
      </c>
      <c r="E128" s="3">
        <v>3869</v>
      </c>
      <c r="F128" s="3">
        <v>24</v>
      </c>
      <c r="G128" s="5">
        <f t="shared" ref="G128:G133" si="12">E128/F128</f>
        <v>161.20833333333334</v>
      </c>
      <c r="H128" s="102"/>
    </row>
    <row r="129" spans="1:9" x14ac:dyDescent="0.25">
      <c r="B129" s="17" t="s">
        <v>157</v>
      </c>
      <c r="D129" s="29" t="s">
        <v>124</v>
      </c>
      <c r="E129" s="3">
        <v>3850</v>
      </c>
      <c r="F129" s="3">
        <v>24</v>
      </c>
      <c r="G129" s="5">
        <f t="shared" si="12"/>
        <v>160.41666666666666</v>
      </c>
      <c r="H129" s="102" t="s">
        <v>704</v>
      </c>
    </row>
    <row r="130" spans="1:9" x14ac:dyDescent="0.25">
      <c r="B130" s="19" t="s">
        <v>203</v>
      </c>
      <c r="D130" s="30" t="s">
        <v>118</v>
      </c>
      <c r="E130" s="3">
        <v>1910</v>
      </c>
      <c r="F130" s="3">
        <v>12</v>
      </c>
      <c r="G130" s="5">
        <f t="shared" si="12"/>
        <v>159.16666666666666</v>
      </c>
      <c r="H130" s="102"/>
    </row>
    <row r="131" spans="1:9" x14ac:dyDescent="0.25">
      <c r="B131" s="19"/>
      <c r="D131" s="34" t="s">
        <v>121</v>
      </c>
      <c r="E131" s="31">
        <v>3147</v>
      </c>
      <c r="F131" s="31">
        <v>20</v>
      </c>
      <c r="G131" s="32">
        <f t="shared" si="12"/>
        <v>157.35</v>
      </c>
      <c r="H131" s="187"/>
      <c r="I131" s="3">
        <v>66</v>
      </c>
    </row>
    <row r="132" spans="1:9" x14ac:dyDescent="0.25">
      <c r="B132" s="17"/>
      <c r="D132" s="30" t="s">
        <v>414</v>
      </c>
      <c r="E132" s="3">
        <v>1774</v>
      </c>
      <c r="F132" s="3">
        <v>12</v>
      </c>
      <c r="G132" s="5">
        <f t="shared" si="12"/>
        <v>147.83333333333334</v>
      </c>
      <c r="H132" s="101"/>
    </row>
    <row r="133" spans="1:9" x14ac:dyDescent="0.25">
      <c r="B133" s="17"/>
      <c r="D133" s="30" t="s">
        <v>415</v>
      </c>
      <c r="E133" s="3">
        <v>1671</v>
      </c>
      <c r="F133" s="3">
        <v>12</v>
      </c>
      <c r="G133" s="5">
        <f t="shared" si="12"/>
        <v>139.25</v>
      </c>
      <c r="H133" s="101" t="s">
        <v>421</v>
      </c>
    </row>
    <row r="134" spans="1:9" x14ac:dyDescent="0.25">
      <c r="B134" s="17"/>
      <c r="D134" s="15" t="s">
        <v>178</v>
      </c>
      <c r="E134" s="3">
        <v>1667</v>
      </c>
      <c r="F134" s="3">
        <v>12</v>
      </c>
      <c r="G134" s="5">
        <f t="shared" ref="G134:G136" si="13">E134/F134</f>
        <v>138.91666666666666</v>
      </c>
      <c r="H134" s="101"/>
    </row>
    <row r="135" spans="1:9" x14ac:dyDescent="0.25">
      <c r="B135" s="17"/>
      <c r="D135" s="15" t="s">
        <v>123</v>
      </c>
      <c r="E135" s="3">
        <v>1452</v>
      </c>
      <c r="F135" s="3">
        <v>12</v>
      </c>
      <c r="G135" s="5">
        <f t="shared" si="13"/>
        <v>121</v>
      </c>
      <c r="H135" s="101"/>
    </row>
    <row r="136" spans="1:9" x14ac:dyDescent="0.25">
      <c r="B136" s="17"/>
      <c r="D136" s="15" t="s">
        <v>179</v>
      </c>
      <c r="E136" s="3">
        <v>1896</v>
      </c>
      <c r="F136" s="3">
        <v>16</v>
      </c>
      <c r="G136" s="5">
        <f t="shared" si="13"/>
        <v>118.5</v>
      </c>
      <c r="H136" s="101"/>
      <c r="I136" s="3">
        <v>71</v>
      </c>
    </row>
    <row r="137" spans="1:9" ht="13.2" customHeight="1" x14ac:dyDescent="0.25">
      <c r="A137" s="138"/>
      <c r="B137" s="95"/>
      <c r="C137" s="96"/>
      <c r="D137" s="97"/>
      <c r="E137" s="96"/>
      <c r="F137" s="96"/>
      <c r="G137" s="98"/>
      <c r="H137" s="96"/>
    </row>
    <row r="138" spans="1:9" x14ac:dyDescent="0.25">
      <c r="A138" s="79">
        <v>46004</v>
      </c>
      <c r="B138" s="17" t="s">
        <v>264</v>
      </c>
      <c r="C138" s="19" t="s">
        <v>265</v>
      </c>
      <c r="D138" s="15" t="s">
        <v>120</v>
      </c>
      <c r="E138" s="19">
        <v>776</v>
      </c>
      <c r="F138" s="19">
        <v>4</v>
      </c>
      <c r="G138" s="5">
        <f t="shared" ref="G138" si="14">E138/F138</f>
        <v>194</v>
      </c>
      <c r="H138" s="19" t="s">
        <v>711</v>
      </c>
      <c r="I138" s="3">
        <v>72</v>
      </c>
    </row>
    <row r="139" spans="1:9" x14ac:dyDescent="0.25">
      <c r="A139" s="138"/>
      <c r="B139" s="95"/>
      <c r="C139" s="96"/>
      <c r="D139" s="97"/>
      <c r="E139" s="96"/>
      <c r="F139" s="96"/>
      <c r="G139" s="98"/>
      <c r="H139" s="96"/>
    </row>
    <row r="140" spans="1:9" s="19" customFormat="1" ht="13.2" customHeight="1" x14ac:dyDescent="0.25">
      <c r="A140" s="79">
        <v>46006</v>
      </c>
      <c r="B140" s="17" t="s">
        <v>156</v>
      </c>
      <c r="C140" s="19" t="s">
        <v>185</v>
      </c>
      <c r="D140" s="110" t="s">
        <v>230</v>
      </c>
      <c r="E140" s="17">
        <v>2280</v>
      </c>
      <c r="F140" s="19">
        <v>12</v>
      </c>
      <c r="G140" s="5">
        <f t="shared" ref="G140:G167" si="15">E140/F140</f>
        <v>190</v>
      </c>
      <c r="H140" s="83" t="s">
        <v>659</v>
      </c>
    </row>
    <row r="141" spans="1:9" s="19" customFormat="1" ht="13.2" customHeight="1" x14ac:dyDescent="0.25">
      <c r="A141" s="129"/>
      <c r="B141" s="17" t="s">
        <v>187</v>
      </c>
      <c r="C141" s="3"/>
      <c r="D141" s="30" t="s">
        <v>114</v>
      </c>
      <c r="E141" s="17">
        <v>2739</v>
      </c>
      <c r="F141" s="19">
        <v>16</v>
      </c>
      <c r="G141" s="5">
        <f t="shared" si="15"/>
        <v>171.1875</v>
      </c>
      <c r="H141" s="101" t="s">
        <v>704</v>
      </c>
    </row>
    <row r="142" spans="1:9" s="19" customFormat="1" ht="13.2" customHeight="1" x14ac:dyDescent="0.25">
      <c r="A142" s="129"/>
      <c r="B142" s="19" t="s">
        <v>292</v>
      </c>
      <c r="C142" s="3"/>
      <c r="D142" s="29" t="s">
        <v>131</v>
      </c>
      <c r="E142" s="17">
        <v>2014</v>
      </c>
      <c r="F142" s="19">
        <v>12</v>
      </c>
      <c r="G142" s="5">
        <f t="shared" si="15"/>
        <v>167.83333333333334</v>
      </c>
      <c r="H142" s="101" t="s">
        <v>704</v>
      </c>
    </row>
    <row r="143" spans="1:9" s="19" customFormat="1" ht="13.2" customHeight="1" x14ac:dyDescent="0.25">
      <c r="A143" s="129"/>
      <c r="B143" s="17"/>
      <c r="C143" s="3"/>
      <c r="D143" s="30" t="s">
        <v>117</v>
      </c>
      <c r="E143" s="17">
        <v>1285</v>
      </c>
      <c r="F143" s="19">
        <v>8</v>
      </c>
      <c r="G143" s="5">
        <f t="shared" si="15"/>
        <v>160.625</v>
      </c>
      <c r="H143" s="101" t="s">
        <v>704</v>
      </c>
    </row>
    <row r="144" spans="1:9" s="19" customFormat="1" ht="13.2" customHeight="1" x14ac:dyDescent="0.25">
      <c r="A144" s="129"/>
      <c r="B144" s="17"/>
      <c r="C144" s="3"/>
      <c r="D144" s="15" t="s">
        <v>126</v>
      </c>
      <c r="E144" s="17">
        <v>717</v>
      </c>
      <c r="F144" s="19">
        <v>4</v>
      </c>
      <c r="G144" s="5">
        <f t="shared" si="15"/>
        <v>179.25</v>
      </c>
      <c r="H144" s="83" t="s">
        <v>421</v>
      </c>
    </row>
    <row r="145" spans="1:8" s="19" customFormat="1" ht="13.2" customHeight="1" x14ac:dyDescent="0.25">
      <c r="A145" s="129"/>
      <c r="B145" s="17"/>
      <c r="C145" s="3"/>
      <c r="D145" s="15" t="s">
        <v>120</v>
      </c>
      <c r="E145" s="17">
        <v>2124</v>
      </c>
      <c r="F145" s="19">
        <v>12</v>
      </c>
      <c r="G145" s="5">
        <f t="shared" si="15"/>
        <v>177</v>
      </c>
      <c r="H145" s="83" t="s">
        <v>421</v>
      </c>
    </row>
    <row r="146" spans="1:8" s="19" customFormat="1" ht="13.2" customHeight="1" x14ac:dyDescent="0.25">
      <c r="A146" s="129"/>
      <c r="B146" s="17"/>
      <c r="C146" s="3"/>
      <c r="D146" s="29" t="s">
        <v>130</v>
      </c>
      <c r="E146" s="17">
        <v>2095</v>
      </c>
      <c r="F146" s="19">
        <v>12</v>
      </c>
      <c r="G146" s="5">
        <f t="shared" si="15"/>
        <v>174.58333333333334</v>
      </c>
      <c r="H146" s="83" t="s">
        <v>421</v>
      </c>
    </row>
    <row r="147" spans="1:8" s="19" customFormat="1" ht="13.2" customHeight="1" x14ac:dyDescent="0.25">
      <c r="A147" s="129"/>
      <c r="B147" s="17"/>
      <c r="C147" s="3"/>
      <c r="D147" s="29" t="s">
        <v>416</v>
      </c>
      <c r="E147" s="17">
        <v>1225</v>
      </c>
      <c r="F147" s="19">
        <v>8</v>
      </c>
      <c r="G147" s="5">
        <f t="shared" si="15"/>
        <v>153.125</v>
      </c>
      <c r="H147" s="101" t="s">
        <v>660</v>
      </c>
    </row>
    <row r="148" spans="1:8" s="19" customFormat="1" ht="13.2" customHeight="1" x14ac:dyDescent="0.25">
      <c r="A148" s="129"/>
      <c r="B148" s="17"/>
      <c r="C148" s="3"/>
      <c r="D148" s="15" t="s">
        <v>121</v>
      </c>
      <c r="E148" s="17">
        <v>2652</v>
      </c>
      <c r="F148" s="19">
        <v>16</v>
      </c>
      <c r="G148" s="5">
        <f t="shared" si="15"/>
        <v>165.75</v>
      </c>
      <c r="H148" s="83" t="s">
        <v>661</v>
      </c>
    </row>
    <row r="149" spans="1:8" s="19" customFormat="1" ht="13.2" customHeight="1" x14ac:dyDescent="0.25">
      <c r="A149" s="129"/>
      <c r="B149" s="17"/>
      <c r="C149" s="3"/>
      <c r="D149" s="29" t="s">
        <v>124</v>
      </c>
      <c r="E149" s="17">
        <v>1987</v>
      </c>
      <c r="F149" s="19">
        <v>12</v>
      </c>
      <c r="G149" s="5">
        <f t="shared" si="15"/>
        <v>165.58333333333334</v>
      </c>
      <c r="H149" s="83" t="s">
        <v>661</v>
      </c>
    </row>
    <row r="150" spans="1:8" s="19" customFormat="1" ht="13.2" customHeight="1" x14ac:dyDescent="0.25">
      <c r="A150" s="129"/>
      <c r="B150" s="17"/>
      <c r="C150" s="3"/>
      <c r="D150" s="30" t="s">
        <v>118</v>
      </c>
      <c r="E150" s="17">
        <v>623</v>
      </c>
      <c r="F150" s="19">
        <v>4</v>
      </c>
      <c r="G150" s="5">
        <f t="shared" si="15"/>
        <v>155.75</v>
      </c>
      <c r="H150" s="83" t="s">
        <v>661</v>
      </c>
    </row>
    <row r="151" spans="1:8" s="19" customFormat="1" ht="13.2" customHeight="1" x14ac:dyDescent="0.25">
      <c r="A151" s="129"/>
      <c r="B151" s="17"/>
      <c r="C151" s="3"/>
      <c r="D151" s="29" t="s">
        <v>128</v>
      </c>
      <c r="E151" s="17">
        <v>539</v>
      </c>
      <c r="F151" s="19">
        <v>4</v>
      </c>
      <c r="G151" s="5">
        <f t="shared" si="15"/>
        <v>134.75</v>
      </c>
      <c r="H151" s="83" t="s">
        <v>661</v>
      </c>
    </row>
    <row r="152" spans="1:8" s="19" customFormat="1" ht="13.2" customHeight="1" x14ac:dyDescent="0.25">
      <c r="A152" s="129"/>
      <c r="B152" s="17"/>
      <c r="C152" s="3"/>
      <c r="D152" s="29" t="s">
        <v>277</v>
      </c>
      <c r="E152" s="17">
        <v>1526</v>
      </c>
      <c r="F152" s="19">
        <v>12</v>
      </c>
      <c r="G152" s="5">
        <f t="shared" si="15"/>
        <v>127.16666666666667</v>
      </c>
      <c r="H152" s="83" t="s">
        <v>661</v>
      </c>
    </row>
    <row r="153" spans="1:8" s="19" customFormat="1" ht="13.2" customHeight="1" x14ac:dyDescent="0.25">
      <c r="A153" s="129"/>
      <c r="B153" s="17"/>
      <c r="C153" s="3"/>
      <c r="D153" s="30" t="s">
        <v>122</v>
      </c>
      <c r="E153" s="17">
        <v>2099</v>
      </c>
      <c r="F153" s="19">
        <v>12</v>
      </c>
      <c r="G153" s="5">
        <f t="shared" si="15"/>
        <v>174.91666666666666</v>
      </c>
      <c r="H153" s="101" t="s">
        <v>662</v>
      </c>
    </row>
    <row r="154" spans="1:8" s="19" customFormat="1" ht="13.2" customHeight="1" x14ac:dyDescent="0.25">
      <c r="A154" s="129"/>
      <c r="B154" s="17"/>
      <c r="C154" s="3"/>
      <c r="D154" s="29" t="s">
        <v>223</v>
      </c>
      <c r="E154" s="17">
        <v>1956</v>
      </c>
      <c r="F154" s="19">
        <v>12</v>
      </c>
      <c r="G154" s="5">
        <f t="shared" si="15"/>
        <v>163</v>
      </c>
      <c r="H154" s="101" t="s">
        <v>662</v>
      </c>
    </row>
    <row r="155" spans="1:8" s="19" customFormat="1" ht="13.2" customHeight="1" x14ac:dyDescent="0.25">
      <c r="A155" s="129"/>
      <c r="B155" s="17"/>
      <c r="C155" s="3"/>
      <c r="D155" s="29" t="s">
        <v>132</v>
      </c>
      <c r="E155" s="17">
        <v>1250</v>
      </c>
      <c r="F155" s="19">
        <v>8</v>
      </c>
      <c r="G155" s="5">
        <f t="shared" si="15"/>
        <v>156.25</v>
      </c>
      <c r="H155" s="101" t="s">
        <v>662</v>
      </c>
    </row>
    <row r="156" spans="1:8" s="19" customFormat="1" ht="13.2" customHeight="1" x14ac:dyDescent="0.25">
      <c r="A156" s="129"/>
      <c r="B156" s="17"/>
      <c r="C156" s="3"/>
      <c r="D156" s="110" t="s">
        <v>224</v>
      </c>
      <c r="E156" s="17">
        <v>577</v>
      </c>
      <c r="F156" s="19">
        <v>4</v>
      </c>
      <c r="G156" s="5">
        <f t="shared" si="15"/>
        <v>144.25</v>
      </c>
      <c r="H156" s="101" t="s">
        <v>662</v>
      </c>
    </row>
    <row r="157" spans="1:8" s="19" customFormat="1" ht="13.2" customHeight="1" x14ac:dyDescent="0.25">
      <c r="A157" s="129"/>
      <c r="B157" s="17"/>
      <c r="C157" s="3"/>
      <c r="D157" s="15" t="s">
        <v>125</v>
      </c>
      <c r="E157" s="17">
        <v>1728</v>
      </c>
      <c r="F157" s="19">
        <v>12</v>
      </c>
      <c r="G157" s="5">
        <f t="shared" si="15"/>
        <v>144</v>
      </c>
      <c r="H157" s="101" t="s">
        <v>662</v>
      </c>
    </row>
    <row r="158" spans="1:8" s="19" customFormat="1" ht="13.2" customHeight="1" x14ac:dyDescent="0.25">
      <c r="A158" s="129"/>
      <c r="B158" s="17"/>
      <c r="C158" s="3"/>
      <c r="D158" s="29" t="s">
        <v>129</v>
      </c>
      <c r="E158" s="17">
        <v>1221</v>
      </c>
      <c r="F158" s="19">
        <v>8</v>
      </c>
      <c r="G158" s="5">
        <f t="shared" si="15"/>
        <v>152.625</v>
      </c>
      <c r="H158" s="83" t="s">
        <v>638</v>
      </c>
    </row>
    <row r="159" spans="1:8" s="19" customFormat="1" ht="13.2" customHeight="1" x14ac:dyDescent="0.25">
      <c r="A159" s="129"/>
      <c r="B159" s="17"/>
      <c r="C159" s="3"/>
      <c r="D159" s="15" t="s">
        <v>178</v>
      </c>
      <c r="E159" s="17">
        <v>1183</v>
      </c>
      <c r="F159" s="19">
        <v>8</v>
      </c>
      <c r="G159" s="5">
        <f t="shared" si="15"/>
        <v>147.875</v>
      </c>
      <c r="H159" s="83" t="s">
        <v>638</v>
      </c>
    </row>
    <row r="160" spans="1:8" s="19" customFormat="1" ht="13.2" customHeight="1" x14ac:dyDescent="0.25">
      <c r="A160" s="129"/>
      <c r="B160" s="17"/>
      <c r="C160" s="3"/>
      <c r="D160" s="15" t="s">
        <v>123</v>
      </c>
      <c r="E160" s="17">
        <v>2830</v>
      </c>
      <c r="F160" s="19">
        <v>20</v>
      </c>
      <c r="G160" s="5">
        <f t="shared" si="15"/>
        <v>141.5</v>
      </c>
      <c r="H160" s="83" t="s">
        <v>638</v>
      </c>
    </row>
    <row r="161" spans="1:9" s="19" customFormat="1" ht="13.2" customHeight="1" x14ac:dyDescent="0.25">
      <c r="A161" s="129"/>
      <c r="B161" s="17"/>
      <c r="C161" s="3"/>
      <c r="D161" s="15" t="s">
        <v>179</v>
      </c>
      <c r="E161" s="17">
        <v>1107</v>
      </c>
      <c r="F161" s="19">
        <v>8</v>
      </c>
      <c r="G161" s="5">
        <f t="shared" si="15"/>
        <v>138.375</v>
      </c>
      <c r="H161" s="83" t="s">
        <v>638</v>
      </c>
    </row>
    <row r="162" spans="1:9" s="19" customFormat="1" ht="13.2" customHeight="1" x14ac:dyDescent="0.25">
      <c r="A162" s="129"/>
      <c r="B162" s="17"/>
      <c r="C162" s="3"/>
      <c r="D162" s="15" t="s">
        <v>645</v>
      </c>
      <c r="E162" s="17">
        <v>470</v>
      </c>
      <c r="F162" s="19">
        <v>4</v>
      </c>
      <c r="G162" s="5">
        <f t="shared" si="15"/>
        <v>117.5</v>
      </c>
      <c r="H162" s="83" t="s">
        <v>638</v>
      </c>
    </row>
    <row r="163" spans="1:9" x14ac:dyDescent="0.25">
      <c r="D163" s="15" t="s">
        <v>217</v>
      </c>
      <c r="E163" s="17">
        <v>1226</v>
      </c>
      <c r="F163" s="19">
        <v>8</v>
      </c>
      <c r="G163" s="5">
        <f t="shared" si="15"/>
        <v>153.25</v>
      </c>
      <c r="H163" s="101" t="s">
        <v>686</v>
      </c>
    </row>
    <row r="164" spans="1:9" x14ac:dyDescent="0.25">
      <c r="D164" s="15" t="s">
        <v>263</v>
      </c>
      <c r="E164" s="17">
        <v>1767</v>
      </c>
      <c r="F164" s="19">
        <v>12</v>
      </c>
      <c r="G164" s="5">
        <f t="shared" si="15"/>
        <v>147.25</v>
      </c>
      <c r="H164" s="83" t="s">
        <v>687</v>
      </c>
    </row>
    <row r="165" spans="1:9" x14ac:dyDescent="0.25">
      <c r="D165" s="15" t="s">
        <v>268</v>
      </c>
      <c r="E165" s="17">
        <v>1708</v>
      </c>
      <c r="F165" s="19">
        <v>12</v>
      </c>
      <c r="G165" s="5">
        <f t="shared" si="15"/>
        <v>142.33333333333334</v>
      </c>
      <c r="H165" s="83" t="s">
        <v>687</v>
      </c>
    </row>
    <row r="166" spans="1:9" x14ac:dyDescent="0.25">
      <c r="D166" s="30" t="s">
        <v>414</v>
      </c>
      <c r="E166" s="17">
        <v>2249</v>
      </c>
      <c r="F166" s="19">
        <v>16</v>
      </c>
      <c r="G166" s="5">
        <f t="shared" si="15"/>
        <v>140.5625</v>
      </c>
      <c r="H166" s="101" t="s">
        <v>688</v>
      </c>
    </row>
    <row r="167" spans="1:9" x14ac:dyDescent="0.25">
      <c r="D167" s="30" t="s">
        <v>415</v>
      </c>
      <c r="E167" s="17">
        <v>2246</v>
      </c>
      <c r="F167" s="19">
        <v>16</v>
      </c>
      <c r="G167" s="5">
        <f t="shared" si="15"/>
        <v>140.375</v>
      </c>
      <c r="H167" s="101" t="s">
        <v>688</v>
      </c>
      <c r="I167" s="3">
        <v>100</v>
      </c>
    </row>
    <row r="168" spans="1:9" ht="13.2" customHeight="1" x14ac:dyDescent="0.25">
      <c r="A168" s="138"/>
      <c r="B168" s="95"/>
      <c r="C168" s="96"/>
      <c r="D168" s="97"/>
      <c r="E168" s="96"/>
      <c r="F168" s="96"/>
      <c r="G168" s="98"/>
      <c r="H168" s="96"/>
    </row>
    <row r="169" spans="1:9" x14ac:dyDescent="0.25">
      <c r="A169" s="79">
        <v>46011</v>
      </c>
      <c r="B169" s="17" t="s">
        <v>264</v>
      </c>
      <c r="C169" s="19" t="s">
        <v>265</v>
      </c>
      <c r="D169" s="15" t="s">
        <v>120</v>
      </c>
      <c r="E169" s="19">
        <v>816</v>
      </c>
      <c r="F169" s="19">
        <v>4</v>
      </c>
      <c r="G169" s="5">
        <f t="shared" ref="G169:G170" si="16">E169/F169</f>
        <v>204</v>
      </c>
      <c r="H169" s="19" t="s">
        <v>710</v>
      </c>
    </row>
    <row r="170" spans="1:9" x14ac:dyDescent="0.25">
      <c r="A170" s="79"/>
      <c r="B170" s="17"/>
      <c r="C170" s="19"/>
      <c r="D170" s="15" t="s">
        <v>263</v>
      </c>
      <c r="E170" s="3">
        <v>583</v>
      </c>
      <c r="F170" s="3">
        <v>4</v>
      </c>
      <c r="G170" s="5">
        <f t="shared" si="16"/>
        <v>145.75</v>
      </c>
      <c r="H170" s="19" t="s">
        <v>709</v>
      </c>
      <c r="I170" s="3">
        <v>102</v>
      </c>
    </row>
    <row r="171" spans="1:9" x14ac:dyDescent="0.25">
      <c r="A171" s="138"/>
      <c r="B171" s="95"/>
      <c r="C171" s="96"/>
      <c r="D171" s="97"/>
      <c r="E171" s="96"/>
      <c r="F171" s="96"/>
      <c r="G171" s="98"/>
      <c r="H171" s="96"/>
    </row>
    <row r="172" spans="1:9" x14ac:dyDescent="0.25">
      <c r="A172" s="129">
        <v>46042</v>
      </c>
      <c r="B172" s="17" t="s">
        <v>235</v>
      </c>
      <c r="C172" s="19" t="s">
        <v>185</v>
      </c>
      <c r="D172" s="15" t="s">
        <v>328</v>
      </c>
      <c r="H172" s="83"/>
    </row>
    <row r="173" spans="1:9" x14ac:dyDescent="0.25">
      <c r="B173" s="17" t="s">
        <v>690</v>
      </c>
      <c r="C173" s="19"/>
      <c r="D173" s="15" t="s">
        <v>219</v>
      </c>
      <c r="H173" s="83"/>
    </row>
    <row r="174" spans="1:9" x14ac:dyDescent="0.25">
      <c r="B174" s="17"/>
      <c r="C174" s="19"/>
      <c r="D174" s="29" t="s">
        <v>269</v>
      </c>
      <c r="H174" s="83"/>
    </row>
    <row r="175" spans="1:9" x14ac:dyDescent="0.25">
      <c r="B175" s="17"/>
      <c r="D175" s="29"/>
      <c r="H175" s="83"/>
    </row>
    <row r="176" spans="1:9" ht="13.2" customHeight="1" x14ac:dyDescent="0.25">
      <c r="A176" s="138"/>
      <c r="B176" s="95"/>
      <c r="C176" s="96"/>
      <c r="D176" s="97"/>
      <c r="E176" s="96"/>
      <c r="F176" s="96"/>
      <c r="G176" s="98"/>
      <c r="H176" s="96"/>
    </row>
    <row r="177" spans="1:8" x14ac:dyDescent="0.25">
      <c r="A177" s="129">
        <v>46053</v>
      </c>
      <c r="B177" s="17" t="s">
        <v>336</v>
      </c>
      <c r="C177" s="19" t="s">
        <v>265</v>
      </c>
      <c r="D177" s="29"/>
      <c r="H177" s="19"/>
    </row>
    <row r="178" spans="1:8" x14ac:dyDescent="0.25">
      <c r="A178" s="79"/>
      <c r="B178" s="17"/>
      <c r="C178" s="19"/>
      <c r="D178" s="15"/>
      <c r="H178" s="101"/>
    </row>
    <row r="179" spans="1:8" x14ac:dyDescent="0.25">
      <c r="A179" s="79"/>
      <c r="B179" s="17"/>
      <c r="C179" s="19"/>
      <c r="D179" s="15"/>
      <c r="H179" s="101"/>
    </row>
    <row r="180" spans="1:8" x14ac:dyDescent="0.25">
      <c r="A180" s="79"/>
      <c r="B180" s="17"/>
      <c r="C180" s="19"/>
      <c r="D180" s="15"/>
      <c r="H180" s="101"/>
    </row>
    <row r="181" spans="1:8" x14ac:dyDescent="0.25">
      <c r="A181" s="79"/>
      <c r="B181" s="17"/>
      <c r="C181" s="19"/>
      <c r="D181" s="15"/>
      <c r="H181" s="101"/>
    </row>
    <row r="182" spans="1:8" x14ac:dyDescent="0.25">
      <c r="A182" s="79"/>
      <c r="B182" s="17"/>
      <c r="C182" s="19"/>
      <c r="D182" s="15"/>
      <c r="H182" s="101"/>
    </row>
    <row r="183" spans="1:8" x14ac:dyDescent="0.25">
      <c r="A183" s="79"/>
      <c r="B183" s="17"/>
      <c r="C183" s="19"/>
      <c r="D183" s="15"/>
      <c r="H183" s="101"/>
    </row>
    <row r="184" spans="1:8" x14ac:dyDescent="0.25">
      <c r="A184" s="79"/>
      <c r="B184" s="17"/>
      <c r="C184" s="19"/>
      <c r="D184" s="15"/>
      <c r="H184" s="101"/>
    </row>
    <row r="185" spans="1:8" x14ac:dyDescent="0.25">
      <c r="A185" s="79"/>
      <c r="B185" s="17"/>
      <c r="C185" s="19"/>
      <c r="D185" s="15"/>
      <c r="H185" s="101"/>
    </row>
    <row r="186" spans="1:8" x14ac:dyDescent="0.25">
      <c r="A186" s="79"/>
      <c r="B186" s="17"/>
      <c r="C186" s="19"/>
      <c r="D186" s="15"/>
      <c r="H186" s="101"/>
    </row>
    <row r="187" spans="1:8" x14ac:dyDescent="0.25">
      <c r="A187" s="79"/>
      <c r="B187" s="17"/>
      <c r="C187" s="19"/>
      <c r="D187" s="15"/>
      <c r="H187" s="101"/>
    </row>
    <row r="188" spans="1:8" x14ac:dyDescent="0.25">
      <c r="A188" s="79"/>
      <c r="B188" s="17"/>
      <c r="C188" s="19"/>
      <c r="D188" s="15"/>
      <c r="H188" s="101"/>
    </row>
    <row r="189" spans="1:8" x14ac:dyDescent="0.25">
      <c r="A189" s="79"/>
      <c r="B189" s="17"/>
      <c r="C189" s="19"/>
      <c r="D189" s="15"/>
      <c r="H189" s="101"/>
    </row>
    <row r="190" spans="1:8" x14ac:dyDescent="0.25">
      <c r="A190" s="79"/>
      <c r="B190" s="17"/>
      <c r="C190" s="19"/>
      <c r="D190" s="15"/>
      <c r="H190" s="101"/>
    </row>
    <row r="191" spans="1:8" x14ac:dyDescent="0.25">
      <c r="A191" s="79"/>
      <c r="B191" s="17"/>
      <c r="C191" s="19"/>
      <c r="D191" s="15"/>
      <c r="H191" s="101"/>
    </row>
    <row r="192" spans="1:8" x14ac:dyDescent="0.25">
      <c r="A192" s="79"/>
      <c r="B192" s="17"/>
      <c r="C192" s="19"/>
      <c r="D192" s="15"/>
      <c r="H192" s="101"/>
    </row>
    <row r="193" spans="1:10" x14ac:dyDescent="0.25">
      <c r="A193" s="79"/>
      <c r="B193" s="17"/>
      <c r="C193" s="19"/>
      <c r="D193" s="15"/>
      <c r="H193" s="101"/>
    </row>
    <row r="194" spans="1:10" x14ac:dyDescent="0.25">
      <c r="A194" s="79"/>
      <c r="B194" s="17"/>
      <c r="C194" s="19"/>
      <c r="D194" s="15"/>
      <c r="H194" s="101"/>
    </row>
    <row r="195" spans="1:10" x14ac:dyDescent="0.25">
      <c r="A195" s="79"/>
      <c r="B195" s="17"/>
      <c r="C195" s="19"/>
      <c r="D195" s="15"/>
      <c r="H195" s="101"/>
    </row>
    <row r="196" spans="1:10" x14ac:dyDescent="0.25">
      <c r="A196" s="79"/>
      <c r="B196" s="17"/>
      <c r="C196" s="19"/>
      <c r="D196" s="15"/>
      <c r="H196" s="101"/>
    </row>
    <row r="197" spans="1:10" x14ac:dyDescent="0.25">
      <c r="B197" s="17"/>
      <c r="C197" s="19"/>
      <c r="D197" s="15"/>
      <c r="H197" s="101"/>
    </row>
    <row r="198" spans="1:10" s="19" customFormat="1" ht="13.2" customHeight="1" x14ac:dyDescent="0.25">
      <c r="A198" s="129"/>
      <c r="B198" s="17"/>
      <c r="D198" s="29"/>
      <c r="E198" s="3"/>
      <c r="F198" s="3"/>
      <c r="G198" s="5"/>
      <c r="H198" s="101"/>
    </row>
    <row r="199" spans="1:10" s="19" customFormat="1" ht="13.2" customHeight="1" x14ac:dyDescent="0.25">
      <c r="A199" s="129"/>
      <c r="B199" s="17"/>
      <c r="D199" s="15"/>
      <c r="E199" s="3"/>
      <c r="F199" s="3"/>
      <c r="G199" s="5"/>
      <c r="H199" s="101"/>
    </row>
    <row r="200" spans="1:10" x14ac:dyDescent="0.25">
      <c r="A200" s="138"/>
      <c r="B200" s="95"/>
      <c r="C200" s="96"/>
      <c r="D200" s="97"/>
      <c r="E200" s="96"/>
      <c r="F200" s="96"/>
      <c r="G200" s="98"/>
      <c r="H200" s="96"/>
    </row>
    <row r="201" spans="1:10" s="19" customFormat="1" x14ac:dyDescent="0.25">
      <c r="A201" s="79">
        <v>45668</v>
      </c>
      <c r="B201" s="17" t="s">
        <v>264</v>
      </c>
      <c r="C201" s="19" t="s">
        <v>265</v>
      </c>
      <c r="D201" s="15"/>
      <c r="G201" s="213"/>
      <c r="J201" s="3"/>
    </row>
    <row r="202" spans="1:10" x14ac:dyDescent="0.25">
      <c r="A202" s="138"/>
      <c r="B202" s="95"/>
      <c r="C202" s="96"/>
      <c r="D202" s="97"/>
      <c r="E202" s="96"/>
      <c r="F202" s="96"/>
      <c r="G202" s="98"/>
      <c r="H202" s="96"/>
    </row>
    <row r="203" spans="1:10" s="19" customFormat="1" ht="13.2" customHeight="1" x14ac:dyDescent="0.25">
      <c r="A203" s="79">
        <v>45689</v>
      </c>
      <c r="B203" s="17" t="s">
        <v>264</v>
      </c>
      <c r="C203" s="19" t="s">
        <v>265</v>
      </c>
      <c r="D203" s="30"/>
      <c r="G203" s="213"/>
      <c r="J203" s="3"/>
    </row>
    <row r="204" spans="1:10" x14ac:dyDescent="0.25">
      <c r="A204" s="138"/>
      <c r="B204" s="95"/>
      <c r="C204" s="96"/>
      <c r="D204" s="97"/>
      <c r="E204" s="96"/>
      <c r="F204" s="96"/>
      <c r="G204" s="98"/>
      <c r="H204" s="96"/>
    </row>
    <row r="205" spans="1:10" x14ac:dyDescent="0.25">
      <c r="A205" s="79">
        <v>45690</v>
      </c>
      <c r="B205" s="17" t="s">
        <v>349</v>
      </c>
      <c r="C205" s="19" t="s">
        <v>282</v>
      </c>
      <c r="D205" s="15"/>
      <c r="H205" s="101"/>
    </row>
    <row r="206" spans="1:10" x14ac:dyDescent="0.25">
      <c r="A206" s="79" t="s">
        <v>227</v>
      </c>
      <c r="B206" s="19" t="s">
        <v>292</v>
      </c>
      <c r="D206" s="34"/>
      <c r="E206" s="31"/>
      <c r="F206" s="31"/>
      <c r="G206" s="32"/>
      <c r="H206" s="192"/>
    </row>
    <row r="207" spans="1:10" x14ac:dyDescent="0.25">
      <c r="B207" s="17"/>
      <c r="D207" s="15"/>
      <c r="H207" s="102"/>
    </row>
    <row r="208" spans="1:10" x14ac:dyDescent="0.25">
      <c r="B208" s="17"/>
      <c r="D208" s="161"/>
      <c r="E208" s="31"/>
      <c r="F208" s="31"/>
      <c r="G208" s="32"/>
      <c r="H208" s="187"/>
    </row>
    <row r="209" spans="1:8" x14ac:dyDescent="0.25">
      <c r="B209" s="17"/>
      <c r="D209" s="15"/>
      <c r="H209" s="101"/>
    </row>
    <row r="210" spans="1:8" x14ac:dyDescent="0.25">
      <c r="B210" s="17"/>
      <c r="D210" s="15"/>
      <c r="H210" s="101"/>
    </row>
    <row r="211" spans="1:8" x14ac:dyDescent="0.25">
      <c r="A211" s="138"/>
      <c r="B211" s="95"/>
      <c r="C211" s="96"/>
      <c r="D211" s="97"/>
      <c r="E211" s="96"/>
      <c r="F211" s="96"/>
      <c r="G211" s="98"/>
      <c r="H211" s="96"/>
    </row>
    <row r="212" spans="1:8" s="19" customFormat="1" ht="13.2" customHeight="1" x14ac:dyDescent="0.25">
      <c r="A212" s="79">
        <v>45703</v>
      </c>
      <c r="B212" s="17" t="s">
        <v>264</v>
      </c>
      <c r="C212" s="19" t="s">
        <v>265</v>
      </c>
      <c r="D212" s="30"/>
      <c r="E212" s="3"/>
      <c r="F212" s="3"/>
      <c r="G212" s="5"/>
    </row>
    <row r="213" spans="1:8" s="19" customFormat="1" ht="13.2" customHeight="1" x14ac:dyDescent="0.25">
      <c r="A213" s="129"/>
      <c r="B213" s="17"/>
      <c r="D213" s="15"/>
      <c r="E213" s="3"/>
      <c r="F213" s="3"/>
      <c r="G213" s="5"/>
    </row>
    <row r="214" spans="1:8" x14ac:dyDescent="0.25">
      <c r="A214" s="138"/>
      <c r="B214" s="95"/>
      <c r="C214" s="96"/>
      <c r="D214" s="97"/>
      <c r="E214" s="96"/>
      <c r="F214" s="96"/>
      <c r="G214" s="98"/>
      <c r="H214" s="96"/>
    </row>
    <row r="215" spans="1:8" x14ac:dyDescent="0.25">
      <c r="A215" s="79">
        <v>45704</v>
      </c>
      <c r="B215" s="17" t="s">
        <v>266</v>
      </c>
      <c r="C215" s="19" t="s">
        <v>265</v>
      </c>
      <c r="D215" s="15"/>
      <c r="H215" s="19"/>
    </row>
    <row r="216" spans="1:8" x14ac:dyDescent="0.25">
      <c r="A216" s="138"/>
      <c r="B216" s="95"/>
      <c r="C216" s="96"/>
      <c r="D216" s="97"/>
      <c r="E216" s="96"/>
      <c r="F216" s="96"/>
      <c r="G216" s="98"/>
      <c r="H216" s="96"/>
    </row>
    <row r="217" spans="1:8" x14ac:dyDescent="0.25">
      <c r="A217" s="79">
        <v>45711</v>
      </c>
      <c r="B217" s="17" t="s">
        <v>266</v>
      </c>
      <c r="C217" s="19" t="s">
        <v>265</v>
      </c>
      <c r="D217" s="15"/>
      <c r="H217" s="19"/>
    </row>
    <row r="218" spans="1:8" x14ac:dyDescent="0.25">
      <c r="A218" s="79"/>
      <c r="B218" s="17"/>
      <c r="C218" s="19"/>
      <c r="D218" s="15"/>
      <c r="H218" s="19"/>
    </row>
    <row r="219" spans="1:8" x14ac:dyDescent="0.25">
      <c r="A219" s="79"/>
      <c r="B219" s="17"/>
      <c r="C219" s="19"/>
      <c r="D219" s="15"/>
      <c r="H219" s="19"/>
    </row>
    <row r="220" spans="1:8" x14ac:dyDescent="0.25">
      <c r="A220" s="79"/>
      <c r="B220" s="17"/>
      <c r="C220" s="19"/>
      <c r="D220" s="15"/>
      <c r="H220" s="19"/>
    </row>
    <row r="221" spans="1:8" x14ac:dyDescent="0.25">
      <c r="A221" s="79"/>
      <c r="B221" s="17"/>
      <c r="C221" s="19"/>
      <c r="D221" s="15"/>
      <c r="H221" s="19"/>
    </row>
    <row r="222" spans="1:8" s="19" customFormat="1" x14ac:dyDescent="0.25">
      <c r="A222" s="138"/>
      <c r="B222" s="95"/>
      <c r="C222" s="96"/>
      <c r="D222" s="97"/>
      <c r="E222" s="96"/>
      <c r="F222" s="96"/>
      <c r="G222" s="98"/>
      <c r="H222" s="96"/>
    </row>
    <row r="223" spans="1:8" x14ac:dyDescent="0.25">
      <c r="A223" s="79">
        <v>45719</v>
      </c>
      <c r="B223" s="17" t="s">
        <v>156</v>
      </c>
      <c r="D223" s="29"/>
      <c r="H223" s="102"/>
    </row>
    <row r="224" spans="1:8" x14ac:dyDescent="0.25">
      <c r="B224" s="17" t="s">
        <v>199</v>
      </c>
      <c r="D224" s="30"/>
      <c r="H224" s="102"/>
    </row>
    <row r="225" spans="2:8" x14ac:dyDescent="0.25">
      <c r="B225" s="19" t="s">
        <v>292</v>
      </c>
      <c r="D225" s="30"/>
      <c r="H225" s="102"/>
    </row>
    <row r="226" spans="2:8" x14ac:dyDescent="0.25">
      <c r="D226" s="29"/>
      <c r="H226" s="101"/>
    </row>
    <row r="227" spans="2:8" x14ac:dyDescent="0.25">
      <c r="D227" s="110"/>
      <c r="H227" s="101"/>
    </row>
    <row r="228" spans="2:8" x14ac:dyDescent="0.25">
      <c r="D228" s="15"/>
      <c r="H228" s="101"/>
    </row>
    <row r="229" spans="2:8" x14ac:dyDescent="0.25">
      <c r="D229" s="112"/>
      <c r="H229" s="101"/>
    </row>
    <row r="230" spans="2:8" x14ac:dyDescent="0.25">
      <c r="D230" s="15"/>
      <c r="H230" s="102"/>
    </row>
    <row r="231" spans="2:8" x14ac:dyDescent="0.25">
      <c r="D231" s="30"/>
      <c r="H231" s="102"/>
    </row>
    <row r="232" spans="2:8" x14ac:dyDescent="0.25">
      <c r="D232" s="29"/>
      <c r="H232" s="102"/>
    </row>
    <row r="233" spans="2:8" x14ac:dyDescent="0.25">
      <c r="D233" s="29"/>
      <c r="H233" s="102"/>
    </row>
    <row r="234" spans="2:8" x14ac:dyDescent="0.25">
      <c r="D234" s="29"/>
      <c r="H234" s="102"/>
    </row>
    <row r="235" spans="2:8" x14ac:dyDescent="0.25">
      <c r="D235" s="29"/>
      <c r="H235" s="101"/>
    </row>
    <row r="236" spans="2:8" x14ac:dyDescent="0.25">
      <c r="D236" s="15"/>
      <c r="H236" s="101"/>
    </row>
    <row r="237" spans="2:8" x14ac:dyDescent="0.25">
      <c r="D237" s="29"/>
      <c r="H237" s="101"/>
    </row>
    <row r="238" spans="2:8" x14ac:dyDescent="0.25">
      <c r="D238" s="15"/>
      <c r="H238" s="101"/>
    </row>
    <row r="239" spans="2:8" x14ac:dyDescent="0.25">
      <c r="D239" s="15"/>
      <c r="H239" s="83"/>
    </row>
    <row r="240" spans="2:8" x14ac:dyDescent="0.25">
      <c r="D240" s="15"/>
      <c r="H240" s="101"/>
    </row>
    <row r="241" spans="1:8" x14ac:dyDescent="0.25">
      <c r="D241" s="15"/>
      <c r="H241" s="101"/>
    </row>
    <row r="242" spans="1:8" x14ac:dyDescent="0.25">
      <c r="D242" s="30"/>
      <c r="H242" s="83"/>
    </row>
    <row r="243" spans="1:8" x14ac:dyDescent="0.25">
      <c r="D243" s="29"/>
      <c r="H243" s="83"/>
    </row>
    <row r="244" spans="1:8" x14ac:dyDescent="0.25">
      <c r="D244" s="29"/>
      <c r="H244" s="83"/>
    </row>
    <row r="245" spans="1:8" x14ac:dyDescent="0.25">
      <c r="D245" s="15"/>
      <c r="H245" s="83"/>
    </row>
    <row r="246" spans="1:8" x14ac:dyDescent="0.25">
      <c r="D246" s="15"/>
      <c r="H246" s="101"/>
    </row>
    <row r="247" spans="1:8" x14ac:dyDescent="0.25">
      <c r="D247" s="29"/>
      <c r="H247" s="101"/>
    </row>
    <row r="248" spans="1:8" x14ac:dyDescent="0.25">
      <c r="D248" s="15"/>
      <c r="H248" s="101"/>
    </row>
    <row r="249" spans="1:8" x14ac:dyDescent="0.25">
      <c r="D249" s="15"/>
      <c r="H249" s="101"/>
    </row>
    <row r="250" spans="1:8" x14ac:dyDescent="0.25">
      <c r="A250" s="138"/>
      <c r="B250" s="95"/>
      <c r="C250" s="96"/>
      <c r="D250" s="97"/>
      <c r="E250" s="96"/>
      <c r="F250" s="96"/>
      <c r="G250" s="98"/>
      <c r="H250" s="96"/>
    </row>
    <row r="251" spans="1:8" x14ac:dyDescent="0.25">
      <c r="A251" s="79">
        <v>45720</v>
      </c>
      <c r="B251" s="17" t="s">
        <v>234</v>
      </c>
      <c r="C251" s="19" t="s">
        <v>185</v>
      </c>
      <c r="D251" s="15"/>
      <c r="H251" s="102"/>
    </row>
    <row r="252" spans="1:8" x14ac:dyDescent="0.25">
      <c r="B252" s="17" t="s">
        <v>237</v>
      </c>
      <c r="C252" s="19"/>
      <c r="D252" s="15"/>
      <c r="H252" s="102"/>
    </row>
    <row r="253" spans="1:8" x14ac:dyDescent="0.25">
      <c r="B253" s="17"/>
      <c r="C253" s="19"/>
      <c r="D253" s="29"/>
      <c r="H253" s="102"/>
    </row>
    <row r="254" spans="1:8" x14ac:dyDescent="0.25">
      <c r="B254" s="17"/>
      <c r="C254" s="19"/>
      <c r="D254" s="29"/>
      <c r="H254" s="101"/>
    </row>
    <row r="255" spans="1:8" x14ac:dyDescent="0.25">
      <c r="A255" s="138"/>
      <c r="B255" s="95"/>
      <c r="C255" s="96"/>
      <c r="D255" s="97"/>
      <c r="E255" s="96"/>
      <c r="F255" s="96"/>
      <c r="G255" s="98"/>
      <c r="H255" s="96"/>
    </row>
    <row r="256" spans="1:8" s="19" customFormat="1" ht="13.2" customHeight="1" x14ac:dyDescent="0.25">
      <c r="A256" s="79">
        <v>45731</v>
      </c>
      <c r="B256" s="17" t="s">
        <v>264</v>
      </c>
      <c r="C256" s="19" t="s">
        <v>265</v>
      </c>
      <c r="D256" s="15"/>
      <c r="G256" s="5"/>
    </row>
    <row r="257" spans="1:10" s="19" customFormat="1" x14ac:dyDescent="0.25">
      <c r="A257" s="138"/>
      <c r="B257" s="95"/>
      <c r="C257" s="96"/>
      <c r="D257" s="97"/>
      <c r="E257" s="96"/>
      <c r="F257" s="96"/>
      <c r="G257" s="98"/>
      <c r="H257" s="96"/>
      <c r="J257" s="3"/>
    </row>
    <row r="258" spans="1:10" x14ac:dyDescent="0.25">
      <c r="A258" s="79">
        <v>45734</v>
      </c>
      <c r="B258" s="17" t="s">
        <v>172</v>
      </c>
      <c r="C258" s="3" t="s">
        <v>185</v>
      </c>
      <c r="D258" s="15"/>
      <c r="H258" s="101"/>
    </row>
    <row r="259" spans="1:10" x14ac:dyDescent="0.25">
      <c r="B259" s="17" t="s">
        <v>187</v>
      </c>
      <c r="D259" s="30"/>
      <c r="H259" s="101"/>
    </row>
    <row r="260" spans="1:10" x14ac:dyDescent="0.25">
      <c r="B260" s="19" t="s">
        <v>203</v>
      </c>
      <c r="D260" s="15"/>
      <c r="H260" s="101"/>
      <c r="I260" s="19"/>
    </row>
    <row r="261" spans="1:10" x14ac:dyDescent="0.25">
      <c r="D261" s="161"/>
      <c r="E261" s="31"/>
      <c r="F261" s="31"/>
      <c r="G261" s="32"/>
      <c r="H261" s="192"/>
      <c r="I261" s="128"/>
    </row>
    <row r="262" spans="1:10" x14ac:dyDescent="0.25">
      <c r="A262" s="3"/>
      <c r="B262" s="3"/>
      <c r="D262" s="29"/>
      <c r="H262" s="102"/>
      <c r="I262" s="128"/>
    </row>
    <row r="263" spans="1:10" x14ac:dyDescent="0.25">
      <c r="A263" s="3"/>
      <c r="B263" s="3"/>
      <c r="D263" s="15"/>
      <c r="H263" s="102"/>
      <c r="I263" s="128"/>
    </row>
    <row r="264" spans="1:10" x14ac:dyDescent="0.25">
      <c r="A264" s="3"/>
      <c r="B264" s="3"/>
      <c r="D264" s="15"/>
      <c r="H264" s="102"/>
      <c r="I264" s="128"/>
    </row>
    <row r="265" spans="1:10" x14ac:dyDescent="0.25">
      <c r="D265" s="15"/>
      <c r="H265" s="102"/>
      <c r="I265" s="128"/>
    </row>
    <row r="266" spans="1:10" x14ac:dyDescent="0.25">
      <c r="D266" s="15"/>
      <c r="H266" s="102"/>
      <c r="I266" s="19"/>
    </row>
    <row r="267" spans="1:10" x14ac:dyDescent="0.25">
      <c r="A267" s="138"/>
      <c r="B267" s="95"/>
      <c r="C267" s="96"/>
      <c r="D267" s="97"/>
      <c r="E267" s="96"/>
      <c r="F267" s="96"/>
      <c r="G267" s="98"/>
      <c r="H267" s="96"/>
      <c r="I267" s="128"/>
    </row>
    <row r="268" spans="1:10" x14ac:dyDescent="0.25">
      <c r="A268" s="79">
        <v>45735</v>
      </c>
      <c r="B268" s="17" t="s">
        <v>233</v>
      </c>
      <c r="C268" s="19" t="s">
        <v>184</v>
      </c>
      <c r="D268" s="29"/>
      <c r="H268" s="101"/>
      <c r="I268" s="128"/>
    </row>
    <row r="269" spans="1:10" x14ac:dyDescent="0.25">
      <c r="B269" s="17" t="s">
        <v>237</v>
      </c>
      <c r="C269" s="19"/>
      <c r="D269" s="15"/>
      <c r="H269" s="101"/>
      <c r="I269" s="128"/>
    </row>
    <row r="270" spans="1:10" x14ac:dyDescent="0.25">
      <c r="B270" s="17"/>
      <c r="C270" s="19"/>
      <c r="D270" s="15"/>
      <c r="H270" s="101"/>
      <c r="I270" s="128"/>
    </row>
    <row r="271" spans="1:10" x14ac:dyDescent="0.25">
      <c r="B271" s="17"/>
      <c r="C271" s="19"/>
      <c r="D271" s="15"/>
      <c r="H271" s="101"/>
      <c r="I271" s="128"/>
    </row>
    <row r="272" spans="1:10" x14ac:dyDescent="0.25">
      <c r="B272" s="17"/>
      <c r="C272" s="19"/>
      <c r="D272" s="29"/>
      <c r="H272" s="101"/>
      <c r="I272" s="128"/>
    </row>
    <row r="273" spans="1:9" x14ac:dyDescent="0.25">
      <c r="B273" s="17"/>
      <c r="C273" s="19"/>
      <c r="D273" s="15"/>
      <c r="H273" s="101"/>
      <c r="I273" s="128"/>
    </row>
    <row r="274" spans="1:9" x14ac:dyDescent="0.25">
      <c r="B274" s="17"/>
      <c r="C274" s="19"/>
      <c r="D274" s="15"/>
      <c r="H274" s="101"/>
      <c r="I274" s="128"/>
    </row>
    <row r="275" spans="1:9" x14ac:dyDescent="0.25">
      <c r="B275" s="17"/>
      <c r="C275" s="19"/>
      <c r="D275" s="15"/>
      <c r="H275" s="101"/>
      <c r="I275" s="19"/>
    </row>
    <row r="276" spans="1:9" x14ac:dyDescent="0.25">
      <c r="A276" s="138"/>
      <c r="B276" s="95"/>
      <c r="C276" s="96"/>
      <c r="D276" s="97"/>
      <c r="E276" s="96"/>
      <c r="F276" s="96"/>
      <c r="G276" s="98"/>
      <c r="H276" s="96"/>
    </row>
    <row r="277" spans="1:9" x14ac:dyDescent="0.25">
      <c r="A277" s="79">
        <v>45736</v>
      </c>
      <c r="B277" s="17" t="s">
        <v>384</v>
      </c>
      <c r="D277" s="30"/>
      <c r="H277" s="101"/>
      <c r="I277" s="19"/>
    </row>
    <row r="278" spans="1:9" x14ac:dyDescent="0.25">
      <c r="B278" s="17" t="s">
        <v>385</v>
      </c>
      <c r="D278" s="15"/>
      <c r="H278" s="101"/>
      <c r="I278" s="19"/>
    </row>
    <row r="279" spans="1:9" x14ac:dyDescent="0.25">
      <c r="A279" s="138"/>
      <c r="B279" s="95"/>
      <c r="C279" s="96"/>
      <c r="D279" s="97"/>
      <c r="E279" s="96"/>
      <c r="F279" s="96"/>
      <c r="G279" s="98"/>
      <c r="H279" s="96"/>
    </row>
    <row r="280" spans="1:9" s="19" customFormat="1" ht="13.2" customHeight="1" x14ac:dyDescent="0.25">
      <c r="A280" s="79">
        <v>45745</v>
      </c>
      <c r="B280" s="17" t="s">
        <v>264</v>
      </c>
      <c r="C280" s="19" t="s">
        <v>265</v>
      </c>
      <c r="D280" s="15"/>
      <c r="G280" s="5"/>
    </row>
    <row r="281" spans="1:9" x14ac:dyDescent="0.25">
      <c r="A281" s="138"/>
      <c r="B281" s="95"/>
      <c r="C281" s="96"/>
      <c r="D281" s="97"/>
      <c r="E281" s="96"/>
      <c r="F281" s="96"/>
      <c r="G281" s="98"/>
      <c r="H281" s="96"/>
    </row>
    <row r="282" spans="1:9" s="19" customFormat="1" ht="13.2" customHeight="1" x14ac:dyDescent="0.25">
      <c r="A282" s="79">
        <v>45752</v>
      </c>
      <c r="B282" s="17" t="s">
        <v>264</v>
      </c>
      <c r="C282" s="19" t="s">
        <v>265</v>
      </c>
      <c r="D282" s="30"/>
      <c r="G282" s="5"/>
    </row>
    <row r="283" spans="1:9" s="19" customFormat="1" ht="13.2" customHeight="1" x14ac:dyDescent="0.25">
      <c r="A283" s="79"/>
      <c r="B283" s="19" t="s">
        <v>379</v>
      </c>
      <c r="D283" s="15"/>
      <c r="E283" s="3"/>
      <c r="F283" s="3"/>
      <c r="G283" s="5"/>
    </row>
    <row r="284" spans="1:9" x14ac:dyDescent="0.25">
      <c r="A284" s="138"/>
      <c r="B284" s="95"/>
      <c r="C284" s="96"/>
      <c r="D284" s="97"/>
      <c r="E284" s="96"/>
      <c r="F284" s="96"/>
      <c r="G284" s="98"/>
      <c r="H284" s="96"/>
      <c r="I284" s="19"/>
    </row>
    <row r="285" spans="1:9" s="19" customFormat="1" ht="13.2" customHeight="1" x14ac:dyDescent="0.25">
      <c r="A285" s="79">
        <v>45760</v>
      </c>
      <c r="B285" s="17" t="s">
        <v>373</v>
      </c>
      <c r="C285" s="19" t="s">
        <v>265</v>
      </c>
      <c r="D285" s="15"/>
      <c r="E285" s="3"/>
      <c r="F285" s="3"/>
      <c r="G285" s="5"/>
      <c r="I285" s="128"/>
    </row>
    <row r="286" spans="1:9" x14ac:dyDescent="0.25">
      <c r="B286" s="17" t="s">
        <v>374</v>
      </c>
      <c r="C286" s="19"/>
      <c r="D286" s="110"/>
      <c r="H286" s="19"/>
    </row>
    <row r="287" spans="1:9" x14ac:dyDescent="0.25">
      <c r="B287" s="17"/>
      <c r="C287" s="19"/>
      <c r="D287" s="15"/>
      <c r="H287" s="19"/>
    </row>
    <row r="288" spans="1:9" x14ac:dyDescent="0.25">
      <c r="A288" s="138"/>
      <c r="B288" s="95"/>
      <c r="C288" s="96"/>
      <c r="D288" s="97"/>
      <c r="E288" s="96"/>
      <c r="F288" s="96"/>
      <c r="G288" s="98"/>
      <c r="H288" s="96"/>
      <c r="I288" s="19"/>
    </row>
    <row r="289" spans="1:9" s="19" customFormat="1" ht="13.2" customHeight="1" x14ac:dyDescent="0.25">
      <c r="A289" s="79">
        <v>45766</v>
      </c>
      <c r="B289" s="17" t="s">
        <v>264</v>
      </c>
      <c r="C289" s="19" t="s">
        <v>265</v>
      </c>
      <c r="D289" s="30"/>
      <c r="E289" s="3"/>
      <c r="F289" s="3"/>
      <c r="G289" s="5"/>
    </row>
    <row r="290" spans="1:9" s="19" customFormat="1" ht="13.2" customHeight="1" x14ac:dyDescent="0.25">
      <c r="A290" s="79"/>
      <c r="B290" s="19" t="s">
        <v>377</v>
      </c>
      <c r="D290" s="15"/>
      <c r="E290" s="3"/>
      <c r="F290" s="3"/>
      <c r="G290" s="5"/>
    </row>
    <row r="291" spans="1:9" s="19" customFormat="1" ht="13.2" customHeight="1" x14ac:dyDescent="0.25">
      <c r="A291" s="79"/>
      <c r="B291" s="17"/>
      <c r="D291" s="30"/>
      <c r="E291" s="3"/>
      <c r="F291" s="3"/>
      <c r="G291" s="5"/>
    </row>
    <row r="292" spans="1:9" s="19" customFormat="1" ht="13.2" customHeight="1" x14ac:dyDescent="0.25">
      <c r="A292" s="79"/>
      <c r="B292" s="17"/>
      <c r="D292" s="15"/>
      <c r="E292" s="3"/>
      <c r="F292" s="3"/>
      <c r="G292" s="5"/>
    </row>
    <row r="293" spans="1:9" s="19" customFormat="1" ht="13.2" customHeight="1" x14ac:dyDescent="0.25">
      <c r="A293" s="79"/>
      <c r="B293" s="17"/>
      <c r="D293" s="15"/>
      <c r="E293" s="3"/>
      <c r="F293" s="3"/>
      <c r="G293" s="5"/>
    </row>
    <row r="294" spans="1:9" x14ac:dyDescent="0.25">
      <c r="A294" s="79"/>
      <c r="B294" s="17"/>
      <c r="C294" s="19"/>
      <c r="D294" s="15"/>
      <c r="H294" s="19"/>
      <c r="I294" s="19"/>
    </row>
    <row r="295" spans="1:9" x14ac:dyDescent="0.25">
      <c r="A295" s="138"/>
      <c r="B295" s="95"/>
      <c r="C295" s="96"/>
      <c r="D295" s="97"/>
      <c r="E295" s="96"/>
      <c r="F295" s="96"/>
      <c r="G295" s="98"/>
      <c r="H295" s="96"/>
      <c r="I295" s="19"/>
    </row>
    <row r="296" spans="1:9" s="19" customFormat="1" ht="13.2" customHeight="1" x14ac:dyDescent="0.25">
      <c r="A296" s="79">
        <v>45767</v>
      </c>
      <c r="B296" s="17" t="s">
        <v>373</v>
      </c>
      <c r="C296" s="19" t="s">
        <v>265</v>
      </c>
      <c r="D296" s="15"/>
      <c r="E296" s="3"/>
      <c r="F296" s="3"/>
      <c r="G296" s="5"/>
    </row>
    <row r="297" spans="1:9" x14ac:dyDescent="0.25">
      <c r="A297" s="138"/>
      <c r="B297" s="95"/>
      <c r="C297" s="96"/>
      <c r="D297" s="97"/>
      <c r="E297" s="96"/>
      <c r="F297" s="96"/>
      <c r="G297" s="98"/>
      <c r="H297" s="96"/>
      <c r="I297" s="19"/>
    </row>
    <row r="298" spans="1:9" s="19" customFormat="1" ht="13.2" customHeight="1" x14ac:dyDescent="0.25">
      <c r="A298" s="79">
        <v>45773</v>
      </c>
      <c r="B298" s="17" t="s">
        <v>264</v>
      </c>
      <c r="C298" s="19" t="s">
        <v>265</v>
      </c>
      <c r="D298" s="110"/>
      <c r="E298" s="3"/>
      <c r="F298" s="3"/>
      <c r="G298" s="5"/>
    </row>
    <row r="299" spans="1:9" s="19" customFormat="1" ht="13.2" customHeight="1" x14ac:dyDescent="0.25">
      <c r="A299" s="79"/>
      <c r="B299" s="19" t="s">
        <v>378</v>
      </c>
      <c r="D299" s="15"/>
      <c r="E299" s="3"/>
      <c r="F299" s="3"/>
      <c r="G299" s="5"/>
    </row>
    <row r="300" spans="1:9" s="19" customFormat="1" ht="13.2" customHeight="1" x14ac:dyDescent="0.25">
      <c r="A300" s="79"/>
      <c r="B300" s="17"/>
      <c r="D300" s="15"/>
      <c r="E300" s="3"/>
      <c r="F300" s="3"/>
      <c r="G300" s="5"/>
    </row>
    <row r="301" spans="1:9" s="19" customFormat="1" ht="13.2" customHeight="1" x14ac:dyDescent="0.25">
      <c r="A301" s="79"/>
      <c r="B301" s="17"/>
      <c r="D301" s="30"/>
      <c r="E301" s="3"/>
      <c r="F301" s="3"/>
      <c r="G301" s="5"/>
    </row>
    <row r="302" spans="1:9" s="19" customFormat="1" ht="13.2" customHeight="1" x14ac:dyDescent="0.25">
      <c r="A302" s="79"/>
      <c r="B302" s="17"/>
      <c r="D302" s="30"/>
      <c r="E302" s="3"/>
      <c r="F302" s="3"/>
      <c r="G302" s="5"/>
    </row>
    <row r="303" spans="1:9" x14ac:dyDescent="0.25">
      <c r="A303" s="138"/>
      <c r="B303" s="95"/>
      <c r="C303" s="96"/>
      <c r="D303" s="97"/>
      <c r="E303" s="96"/>
      <c r="F303" s="96"/>
      <c r="G303" s="98"/>
      <c r="H303" s="96"/>
    </row>
    <row r="304" spans="1:9" x14ac:dyDescent="0.25">
      <c r="A304" s="79">
        <v>45774</v>
      </c>
      <c r="B304" s="17" t="s">
        <v>266</v>
      </c>
      <c r="C304" s="19" t="s">
        <v>265</v>
      </c>
      <c r="D304" s="15"/>
      <c r="H304" s="19"/>
    </row>
    <row r="305" spans="1:9" x14ac:dyDescent="0.25">
      <c r="A305" s="138"/>
      <c r="B305" s="95"/>
      <c r="C305" s="96"/>
      <c r="D305" s="97"/>
      <c r="E305" s="96"/>
      <c r="F305" s="96"/>
      <c r="G305" s="98"/>
      <c r="H305" s="96"/>
      <c r="I305" s="19"/>
    </row>
    <row r="306" spans="1:9" x14ac:dyDescent="0.25">
      <c r="A306" s="79">
        <v>45775</v>
      </c>
      <c r="B306" s="17" t="s">
        <v>156</v>
      </c>
      <c r="C306" s="19"/>
      <c r="D306" s="29"/>
      <c r="H306" s="83"/>
      <c r="I306" s="19"/>
    </row>
    <row r="307" spans="1:9" x14ac:dyDescent="0.25">
      <c r="A307" s="79"/>
      <c r="B307" s="17" t="s">
        <v>204</v>
      </c>
      <c r="C307" s="19"/>
      <c r="D307" s="110"/>
      <c r="H307" s="83"/>
      <c r="I307" s="19"/>
    </row>
    <row r="308" spans="1:9" x14ac:dyDescent="0.25">
      <c r="A308" s="79"/>
      <c r="B308" s="19" t="s">
        <v>292</v>
      </c>
      <c r="C308" s="19"/>
      <c r="D308" s="112"/>
      <c r="H308" s="83"/>
      <c r="I308" s="19"/>
    </row>
    <row r="309" spans="1:9" x14ac:dyDescent="0.25">
      <c r="A309" s="79"/>
      <c r="B309" s="17"/>
      <c r="C309" s="19"/>
      <c r="D309" s="34"/>
      <c r="E309" s="31"/>
      <c r="F309" s="31"/>
      <c r="G309" s="32"/>
      <c r="H309" s="103"/>
      <c r="I309" s="19"/>
    </row>
    <row r="310" spans="1:9" x14ac:dyDescent="0.25">
      <c r="A310" s="79"/>
      <c r="B310" s="17"/>
      <c r="C310" s="19"/>
      <c r="D310" s="215"/>
      <c r="E310" s="216"/>
      <c r="F310" s="216"/>
      <c r="G310" s="217"/>
      <c r="H310" s="218"/>
      <c r="I310" s="19"/>
    </row>
    <row r="311" spans="1:9" x14ac:dyDescent="0.25">
      <c r="A311" s="79"/>
      <c r="B311" s="17"/>
      <c r="C311" s="19"/>
      <c r="D311" s="29"/>
      <c r="H311" s="83"/>
      <c r="I311" s="19"/>
    </row>
    <row r="312" spans="1:9" x14ac:dyDescent="0.25">
      <c r="A312" s="79"/>
      <c r="B312" s="17"/>
      <c r="C312" s="19"/>
      <c r="D312" s="15"/>
      <c r="H312" s="83"/>
      <c r="I312" s="19"/>
    </row>
    <row r="313" spans="1:9" x14ac:dyDescent="0.25">
      <c r="A313" s="79"/>
      <c r="B313" s="17"/>
      <c r="C313" s="19"/>
      <c r="D313" s="29"/>
      <c r="H313" s="83"/>
      <c r="I313" s="19"/>
    </row>
    <row r="314" spans="1:9" x14ac:dyDescent="0.25">
      <c r="A314" s="79"/>
      <c r="B314" s="17"/>
      <c r="C314" s="19"/>
      <c r="D314" s="30"/>
      <c r="H314" s="83"/>
      <c r="I314" s="19"/>
    </row>
    <row r="315" spans="1:9" x14ac:dyDescent="0.25">
      <c r="A315" s="79"/>
      <c r="B315" s="17"/>
      <c r="C315" s="19"/>
      <c r="D315" s="161"/>
      <c r="E315" s="31"/>
      <c r="F315" s="31"/>
      <c r="G315" s="32"/>
      <c r="H315" s="103"/>
      <c r="I315" s="19"/>
    </row>
    <row r="316" spans="1:9" x14ac:dyDescent="0.25">
      <c r="A316" s="79"/>
      <c r="B316" s="17"/>
      <c r="C316" s="19"/>
      <c r="D316" s="15"/>
      <c r="H316" s="101"/>
      <c r="I316" s="19"/>
    </row>
    <row r="317" spans="1:9" x14ac:dyDescent="0.25">
      <c r="A317" s="79"/>
      <c r="B317" s="17"/>
      <c r="C317" s="19"/>
      <c r="D317" s="34"/>
      <c r="E317" s="31"/>
      <c r="F317" s="31"/>
      <c r="G317" s="32"/>
      <c r="H317" s="192"/>
      <c r="I317" s="19"/>
    </row>
    <row r="318" spans="1:9" x14ac:dyDescent="0.25">
      <c r="A318" s="79"/>
      <c r="B318" s="17"/>
      <c r="C318" s="19"/>
      <c r="D318" s="30"/>
      <c r="H318" s="83"/>
      <c r="I318" s="19"/>
    </row>
    <row r="319" spans="1:9" x14ac:dyDescent="0.25">
      <c r="A319" s="79"/>
      <c r="B319" s="17"/>
      <c r="C319" s="19"/>
      <c r="D319" s="15"/>
      <c r="H319" s="83"/>
      <c r="I319" s="19"/>
    </row>
    <row r="320" spans="1:9" x14ac:dyDescent="0.25">
      <c r="A320" s="79"/>
      <c r="B320" s="17"/>
      <c r="C320" s="19"/>
      <c r="D320" s="29"/>
      <c r="H320" s="83"/>
      <c r="I320" s="19"/>
    </row>
    <row r="321" spans="1:9" x14ac:dyDescent="0.25">
      <c r="A321" s="79"/>
      <c r="B321" s="17"/>
      <c r="C321" s="19"/>
      <c r="D321" s="161"/>
      <c r="E321" s="31"/>
      <c r="F321" s="31"/>
      <c r="G321" s="32"/>
      <c r="H321" s="103"/>
      <c r="I321" s="19"/>
    </row>
    <row r="322" spans="1:9" x14ac:dyDescent="0.25">
      <c r="A322" s="79"/>
      <c r="B322" s="17"/>
      <c r="C322" s="19"/>
      <c r="D322" s="29"/>
      <c r="H322" s="101"/>
      <c r="I322" s="19"/>
    </row>
    <row r="323" spans="1:9" x14ac:dyDescent="0.25">
      <c r="A323" s="79"/>
      <c r="B323" s="17"/>
      <c r="C323" s="19"/>
      <c r="D323" s="29"/>
      <c r="H323" s="101"/>
      <c r="I323" s="19"/>
    </row>
    <row r="324" spans="1:9" x14ac:dyDescent="0.25">
      <c r="A324" s="79"/>
      <c r="B324" s="17"/>
      <c r="C324" s="19"/>
      <c r="D324" s="34"/>
      <c r="E324" s="31"/>
      <c r="F324" s="31"/>
      <c r="G324" s="32"/>
      <c r="H324" s="192"/>
      <c r="I324" s="19"/>
    </row>
    <row r="325" spans="1:9" x14ac:dyDescent="0.25">
      <c r="A325" s="79"/>
      <c r="B325" s="17"/>
      <c r="C325" s="19"/>
      <c r="D325" s="30"/>
      <c r="H325" s="83"/>
      <c r="I325" s="19"/>
    </row>
    <row r="326" spans="1:9" x14ac:dyDescent="0.25">
      <c r="A326" s="79"/>
      <c r="B326" s="17"/>
      <c r="C326" s="19"/>
      <c r="D326" s="30"/>
      <c r="H326" s="83"/>
      <c r="I326" s="19"/>
    </row>
    <row r="327" spans="1:9" x14ac:dyDescent="0.25">
      <c r="A327" s="79"/>
      <c r="B327" s="17"/>
      <c r="C327" s="19"/>
      <c r="D327" s="161"/>
      <c r="E327" s="31"/>
      <c r="F327" s="31"/>
      <c r="G327" s="32"/>
      <c r="H327" s="103"/>
      <c r="I327" s="19"/>
    </row>
    <row r="328" spans="1:9" x14ac:dyDescent="0.25">
      <c r="A328" s="79"/>
      <c r="B328" s="17"/>
      <c r="C328" s="19"/>
      <c r="D328" s="15"/>
      <c r="H328" s="101"/>
      <c r="I328" s="19"/>
    </row>
    <row r="329" spans="1:9" x14ac:dyDescent="0.25">
      <c r="A329" s="79"/>
      <c r="B329" s="17"/>
      <c r="C329" s="19"/>
      <c r="D329" s="29"/>
      <c r="H329" s="101"/>
      <c r="I329" s="19"/>
    </row>
    <row r="330" spans="1:9" x14ac:dyDescent="0.25">
      <c r="A330" s="79"/>
      <c r="B330" s="17"/>
      <c r="C330" s="19"/>
      <c r="D330" s="15"/>
      <c r="H330" s="101"/>
      <c r="I330" s="19"/>
    </row>
    <row r="331" spans="1:9" x14ac:dyDescent="0.25">
      <c r="A331" s="79"/>
      <c r="B331" s="17"/>
      <c r="C331" s="19"/>
      <c r="D331" s="15"/>
      <c r="H331" s="101"/>
      <c r="I331" s="19"/>
    </row>
    <row r="332" spans="1:9" x14ac:dyDescent="0.25">
      <c r="A332" s="138"/>
      <c r="B332" s="95"/>
      <c r="C332" s="96"/>
      <c r="D332" s="97"/>
      <c r="E332" s="96"/>
      <c r="F332" s="96"/>
      <c r="G332" s="98"/>
      <c r="H332" s="96"/>
      <c r="I332" s="19"/>
    </row>
    <row r="333" spans="1:9" x14ac:dyDescent="0.25">
      <c r="A333" s="79">
        <v>45776</v>
      </c>
      <c r="B333" s="17" t="s">
        <v>235</v>
      </c>
      <c r="C333" s="19" t="s">
        <v>185</v>
      </c>
      <c r="D333" s="15"/>
      <c r="H333" s="83"/>
    </row>
    <row r="334" spans="1:9" x14ac:dyDescent="0.25">
      <c r="B334" s="17" t="s">
        <v>238</v>
      </c>
      <c r="C334" s="19"/>
      <c r="D334" s="15"/>
      <c r="H334" s="83"/>
    </row>
    <row r="335" spans="1:9" x14ac:dyDescent="0.25">
      <c r="B335" s="17"/>
      <c r="D335" s="29"/>
      <c r="H335" s="83"/>
    </row>
    <row r="336" spans="1:9" x14ac:dyDescent="0.25">
      <c r="A336" s="138"/>
      <c r="B336" s="95"/>
      <c r="C336" s="96"/>
      <c r="D336" s="97"/>
      <c r="E336" s="96"/>
      <c r="F336" s="96"/>
      <c r="G336" s="98"/>
      <c r="H336" s="96"/>
      <c r="I336" s="19"/>
    </row>
    <row r="337" spans="1:9" s="19" customFormat="1" ht="13.2" customHeight="1" x14ac:dyDescent="0.25">
      <c r="A337" s="79">
        <v>45780</v>
      </c>
      <c r="B337" s="17" t="s">
        <v>264</v>
      </c>
      <c r="C337" s="19" t="s">
        <v>265</v>
      </c>
      <c r="D337" s="15"/>
      <c r="E337" s="3"/>
      <c r="F337" s="3"/>
      <c r="G337" s="5"/>
    </row>
    <row r="338" spans="1:9" x14ac:dyDescent="0.25">
      <c r="A338" s="79"/>
      <c r="B338" s="19" t="s">
        <v>376</v>
      </c>
      <c r="C338" s="19"/>
      <c r="D338" s="15"/>
      <c r="H338" s="19"/>
      <c r="I338" s="19"/>
    </row>
    <row r="339" spans="1:9" x14ac:dyDescent="0.25">
      <c r="A339" s="138"/>
      <c r="B339" s="95"/>
      <c r="C339" s="96"/>
      <c r="D339" s="97"/>
      <c r="E339" s="96"/>
      <c r="F339" s="96"/>
      <c r="G339" s="98"/>
      <c r="H339" s="96"/>
      <c r="I339" s="19"/>
    </row>
    <row r="340" spans="1:9" s="19" customFormat="1" ht="13.2" customHeight="1" x14ac:dyDescent="0.25">
      <c r="A340" s="79">
        <v>45787</v>
      </c>
      <c r="B340" s="17" t="s">
        <v>264</v>
      </c>
      <c r="C340" s="19" t="s">
        <v>265</v>
      </c>
      <c r="D340" s="30"/>
      <c r="E340" s="3"/>
      <c r="F340" s="3"/>
      <c r="G340" s="5"/>
    </row>
    <row r="341" spans="1:9" s="19" customFormat="1" ht="13.2" customHeight="1" x14ac:dyDescent="0.25">
      <c r="A341" s="79"/>
      <c r="B341" s="19" t="s">
        <v>394</v>
      </c>
      <c r="D341" s="15"/>
      <c r="E341" s="3"/>
      <c r="F341" s="3"/>
      <c r="G341" s="5"/>
    </row>
    <row r="342" spans="1:9" x14ac:dyDescent="0.25">
      <c r="A342" s="79"/>
      <c r="B342" s="17"/>
      <c r="C342" s="19"/>
      <c r="D342" s="30"/>
      <c r="H342" s="19"/>
      <c r="I342" s="19"/>
    </row>
    <row r="343" spans="1:9" s="19" customFormat="1" x14ac:dyDescent="0.25">
      <c r="A343" s="138"/>
      <c r="B343" s="95"/>
      <c r="C343" s="96"/>
      <c r="D343" s="97"/>
      <c r="E343" s="96"/>
      <c r="F343" s="96"/>
      <c r="G343" s="98"/>
      <c r="H343" s="96"/>
    </row>
    <row r="344" spans="1:9" s="19" customFormat="1" x14ac:dyDescent="0.25">
      <c r="A344" s="79">
        <v>45788</v>
      </c>
      <c r="B344" s="17" t="s">
        <v>294</v>
      </c>
      <c r="C344" s="19" t="s">
        <v>382</v>
      </c>
      <c r="D344" s="110"/>
      <c r="G344" s="5"/>
      <c r="H344" s="83"/>
    </row>
    <row r="345" spans="1:9" s="19" customFormat="1" x14ac:dyDescent="0.25">
      <c r="A345" s="129"/>
      <c r="B345" s="19" t="s">
        <v>383</v>
      </c>
      <c r="C345" s="3"/>
      <c r="D345" s="15"/>
      <c r="G345" s="5"/>
      <c r="H345" s="83"/>
    </row>
    <row r="346" spans="1:9" s="19" customFormat="1" x14ac:dyDescent="0.25">
      <c r="A346" s="129"/>
      <c r="B346" s="4"/>
      <c r="D346" s="161"/>
      <c r="E346" s="33"/>
      <c r="F346" s="33"/>
      <c r="G346" s="32"/>
      <c r="H346" s="103"/>
    </row>
    <row r="347" spans="1:9" s="19" customFormat="1" x14ac:dyDescent="0.25">
      <c r="A347" s="129"/>
      <c r="B347" s="4"/>
      <c r="C347" s="3"/>
      <c r="D347" s="15"/>
      <c r="G347" s="5"/>
      <c r="H347" s="83"/>
    </row>
    <row r="348" spans="1:9" s="19" customFormat="1" x14ac:dyDescent="0.25">
      <c r="A348" s="129"/>
      <c r="B348" s="4"/>
      <c r="C348" s="3"/>
      <c r="D348" s="29"/>
      <c r="G348" s="5"/>
      <c r="H348" s="83"/>
    </row>
    <row r="349" spans="1:9" s="19" customFormat="1" x14ac:dyDescent="0.25">
      <c r="A349" s="129"/>
      <c r="B349" s="4"/>
      <c r="C349" s="3"/>
      <c r="D349" s="34"/>
      <c r="E349" s="33"/>
      <c r="F349" s="33"/>
      <c r="G349" s="32"/>
      <c r="H349" s="103"/>
    </row>
    <row r="350" spans="1:9" s="19" customFormat="1" x14ac:dyDescent="0.25">
      <c r="A350" s="129"/>
      <c r="B350" s="4"/>
      <c r="C350" s="3"/>
      <c r="D350" s="15"/>
      <c r="G350" s="5"/>
      <c r="H350" s="83"/>
    </row>
    <row r="351" spans="1:9" s="19" customFormat="1" x14ac:dyDescent="0.25">
      <c r="A351" s="129"/>
      <c r="B351" s="4"/>
      <c r="C351" s="3"/>
      <c r="D351" s="15"/>
      <c r="G351" s="5"/>
      <c r="H351" s="83"/>
    </row>
    <row r="352" spans="1:9" s="19" customFormat="1" x14ac:dyDescent="0.25">
      <c r="A352" s="129"/>
      <c r="B352" s="4"/>
      <c r="C352" s="3"/>
      <c r="D352" s="29"/>
      <c r="G352" s="5"/>
      <c r="H352" s="83"/>
    </row>
    <row r="353" spans="1:8" s="19" customFormat="1" x14ac:dyDescent="0.25">
      <c r="A353" s="138"/>
      <c r="B353" s="95"/>
      <c r="C353" s="96"/>
      <c r="D353" s="97"/>
      <c r="E353" s="96"/>
      <c r="F353" s="96"/>
      <c r="G353" s="98"/>
      <c r="H353" s="96"/>
    </row>
    <row r="354" spans="1:8" x14ac:dyDescent="0.25">
      <c r="A354" s="79">
        <v>45804</v>
      </c>
      <c r="B354" s="17" t="s">
        <v>234</v>
      </c>
      <c r="C354" s="19" t="s">
        <v>185</v>
      </c>
      <c r="D354" s="15"/>
      <c r="H354" s="102"/>
    </row>
    <row r="355" spans="1:8" x14ac:dyDescent="0.25">
      <c r="B355" s="17" t="s">
        <v>239</v>
      </c>
      <c r="C355" s="19"/>
      <c r="D355" s="15"/>
      <c r="H355" s="102"/>
    </row>
    <row r="356" spans="1:8" x14ac:dyDescent="0.25">
      <c r="B356" s="17"/>
      <c r="C356" s="19"/>
      <c r="D356" s="29"/>
      <c r="H356" s="102"/>
    </row>
    <row r="357" spans="1:8" x14ac:dyDescent="0.25">
      <c r="B357" s="17"/>
      <c r="C357" s="19"/>
      <c r="D357" s="29"/>
      <c r="H357" s="101"/>
    </row>
    <row r="358" spans="1:8" s="19" customFormat="1" x14ac:dyDescent="0.25">
      <c r="A358" s="138"/>
      <c r="B358" s="95"/>
      <c r="C358" s="96"/>
      <c r="D358" s="97"/>
      <c r="E358" s="96"/>
      <c r="F358" s="96"/>
      <c r="G358" s="98"/>
      <c r="H358" s="96"/>
    </row>
    <row r="359" spans="1:8" s="19" customFormat="1" x14ac:dyDescent="0.25">
      <c r="A359" s="79">
        <v>45808</v>
      </c>
      <c r="B359" s="17" t="s">
        <v>387</v>
      </c>
      <c r="C359" s="219" t="s">
        <v>388</v>
      </c>
      <c r="D359" s="15"/>
      <c r="G359" s="5"/>
    </row>
    <row r="360" spans="1:8" s="19" customFormat="1" x14ac:dyDescent="0.25">
      <c r="A360" s="129"/>
      <c r="B360" s="19" t="s">
        <v>389</v>
      </c>
      <c r="C360" s="3"/>
      <c r="D360" s="15"/>
      <c r="G360" s="5"/>
    </row>
    <row r="361" spans="1:8" s="19" customFormat="1" x14ac:dyDescent="0.25">
      <c r="A361" s="129"/>
      <c r="B361" s="19" t="s">
        <v>390</v>
      </c>
      <c r="C361" s="3"/>
      <c r="D361" s="29"/>
      <c r="G361" s="5"/>
    </row>
    <row r="362" spans="1:8" s="19" customFormat="1" x14ac:dyDescent="0.25">
      <c r="A362" s="129"/>
      <c r="B362" s="19" t="s">
        <v>391</v>
      </c>
      <c r="C362" s="3"/>
      <c r="D362" s="34"/>
      <c r="E362" s="33"/>
      <c r="F362" s="33"/>
      <c r="G362" s="32"/>
      <c r="H362" s="33"/>
    </row>
    <row r="363" spans="1:8" s="19" customFormat="1" x14ac:dyDescent="0.25">
      <c r="A363" s="129"/>
      <c r="B363" s="4"/>
      <c r="C363" s="3"/>
      <c r="D363" s="15"/>
      <c r="G363" s="5"/>
    </row>
    <row r="364" spans="1:8" s="19" customFormat="1" x14ac:dyDescent="0.25">
      <c r="A364" s="129"/>
      <c r="B364" s="4"/>
      <c r="C364" s="3"/>
      <c r="D364" s="190"/>
      <c r="E364" s="26"/>
      <c r="F364" s="26"/>
      <c r="G364" s="26"/>
    </row>
    <row r="365" spans="1:8" s="19" customFormat="1" x14ac:dyDescent="0.25">
      <c r="A365" s="129"/>
      <c r="B365" s="4"/>
      <c r="C365" s="3"/>
      <c r="D365" s="190"/>
      <c r="E365" s="26"/>
      <c r="F365" s="26"/>
      <c r="G365" s="26"/>
    </row>
    <row r="366" spans="1:8" s="19" customFormat="1" x14ac:dyDescent="0.25">
      <c r="A366" s="129"/>
      <c r="B366" s="4"/>
      <c r="C366" s="3"/>
      <c r="D366" s="190"/>
      <c r="E366" s="26"/>
      <c r="F366" s="26"/>
      <c r="G366" s="26"/>
    </row>
    <row r="367" spans="1:8" s="19" customFormat="1" x14ac:dyDescent="0.25">
      <c r="A367" s="138"/>
      <c r="B367" s="95"/>
      <c r="C367" s="96"/>
      <c r="D367" s="97"/>
      <c r="E367" s="96"/>
      <c r="F367" s="96"/>
      <c r="G367" s="98"/>
      <c r="H367" s="96"/>
    </row>
    <row r="368" spans="1:8" s="19" customFormat="1" x14ac:dyDescent="0.25">
      <c r="A368" s="79">
        <v>45812</v>
      </c>
      <c r="B368" s="17" t="s">
        <v>335</v>
      </c>
      <c r="C368" s="19" t="s">
        <v>341</v>
      </c>
      <c r="D368" s="15"/>
      <c r="E368" s="3"/>
      <c r="F368" s="3"/>
      <c r="G368" s="5"/>
      <c r="H368" s="101"/>
    </row>
    <row r="369" spans="1:8" s="19" customFormat="1" x14ac:dyDescent="0.25">
      <c r="A369" s="129"/>
      <c r="B369" s="17" t="s">
        <v>393</v>
      </c>
      <c r="D369" s="15"/>
      <c r="E369" s="3"/>
      <c r="F369" s="3"/>
      <c r="G369" s="5"/>
      <c r="H369" s="101"/>
    </row>
    <row r="370" spans="1:8" s="19" customFormat="1" x14ac:dyDescent="0.25">
      <c r="A370" s="129"/>
      <c r="B370" s="17"/>
      <c r="D370" s="29"/>
      <c r="E370" s="3"/>
      <c r="F370" s="3"/>
      <c r="G370" s="5"/>
      <c r="H370" s="101"/>
    </row>
    <row r="371" spans="1:8" s="19" customFormat="1" x14ac:dyDescent="0.25">
      <c r="A371" s="129"/>
      <c r="B371" s="17"/>
      <c r="D371" s="15"/>
      <c r="E371" s="3"/>
      <c r="F371" s="3"/>
      <c r="G371" s="5"/>
      <c r="H371" s="101"/>
    </row>
    <row r="372" spans="1:8" s="19" customFormat="1" x14ac:dyDescent="0.25">
      <c r="A372" s="156"/>
      <c r="B372" s="95"/>
      <c r="C372" s="96"/>
      <c r="D372" s="97"/>
      <c r="E372" s="96"/>
      <c r="F372" s="96"/>
      <c r="G372" s="98"/>
      <c r="H372" s="96"/>
    </row>
    <row r="373" spans="1:8" s="19" customFormat="1" x14ac:dyDescent="0.25">
      <c r="A373" s="79">
        <v>45816</v>
      </c>
      <c r="B373" s="17" t="s">
        <v>395</v>
      </c>
      <c r="C373" s="19" t="s">
        <v>184</v>
      </c>
      <c r="D373" s="15"/>
      <c r="E373" s="3"/>
      <c r="G373" s="5"/>
      <c r="H373" s="220"/>
    </row>
    <row r="374" spans="1:8" s="19" customFormat="1" x14ac:dyDescent="0.25">
      <c r="A374" s="129"/>
      <c r="B374" s="19" t="s">
        <v>396</v>
      </c>
      <c r="D374" s="15"/>
      <c r="E374" s="3"/>
      <c r="G374" s="5"/>
      <c r="H374" s="101"/>
    </row>
    <row r="375" spans="1:8" s="19" customFormat="1" x14ac:dyDescent="0.25">
      <c r="A375" s="129"/>
      <c r="D375" s="30"/>
      <c r="E375" s="3"/>
      <c r="G375" s="5"/>
      <c r="H375" s="220"/>
    </row>
    <row r="376" spans="1:8" s="19" customFormat="1" x14ac:dyDescent="0.25">
      <c r="A376" s="129"/>
      <c r="B376" s="17"/>
      <c r="D376" s="15"/>
      <c r="E376" s="3"/>
      <c r="G376" s="5"/>
      <c r="H376" s="220"/>
    </row>
    <row r="377" spans="1:8" s="19" customFormat="1" x14ac:dyDescent="0.25">
      <c r="A377" s="156"/>
      <c r="B377" s="95"/>
      <c r="C377" s="96"/>
      <c r="D377" s="97"/>
      <c r="E377" s="96"/>
      <c r="F377" s="96"/>
      <c r="G377" s="98"/>
      <c r="H377" s="96"/>
    </row>
    <row r="378" spans="1:8" s="19" customFormat="1" x14ac:dyDescent="0.25">
      <c r="A378" s="79">
        <v>45816</v>
      </c>
      <c r="B378" s="17" t="s">
        <v>397</v>
      </c>
      <c r="C378" s="19" t="s">
        <v>265</v>
      </c>
      <c r="D378" s="110"/>
      <c r="E378" s="3"/>
      <c r="F378" s="3"/>
      <c r="G378" s="5"/>
      <c r="H378" s="101"/>
    </row>
    <row r="379" spans="1:8" s="19" customFormat="1" x14ac:dyDescent="0.25">
      <c r="A379" s="129"/>
      <c r="B379" s="19" t="s">
        <v>398</v>
      </c>
      <c r="D379" s="15"/>
      <c r="E379" s="3"/>
      <c r="F379" s="3"/>
      <c r="G379" s="5"/>
      <c r="H379" s="220"/>
    </row>
    <row r="380" spans="1:8" s="19" customFormat="1" x14ac:dyDescent="0.25">
      <c r="A380" s="138"/>
      <c r="B380" s="95"/>
      <c r="C380" s="96"/>
      <c r="D380" s="97"/>
      <c r="E380" s="96"/>
      <c r="F380" s="96"/>
      <c r="G380" s="98"/>
      <c r="H380" s="96"/>
    </row>
    <row r="381" spans="1:8" s="19" customFormat="1" x14ac:dyDescent="0.25">
      <c r="A381" s="79">
        <v>45822</v>
      </c>
      <c r="B381" s="17" t="s">
        <v>399</v>
      </c>
      <c r="D381" s="15"/>
      <c r="G381" s="5"/>
    </row>
    <row r="382" spans="1:8" s="19" customFormat="1" x14ac:dyDescent="0.25">
      <c r="A382" s="79"/>
      <c r="B382" s="19" t="s">
        <v>400</v>
      </c>
      <c r="D382" s="15"/>
      <c r="G382" s="5"/>
    </row>
    <row r="383" spans="1:8" s="19" customFormat="1" x14ac:dyDescent="0.25">
      <c r="A383" s="79"/>
      <c r="B383" s="17"/>
      <c r="D383" s="29"/>
      <c r="G383" s="5"/>
    </row>
    <row r="384" spans="1:8" s="19" customFormat="1" x14ac:dyDescent="0.25">
      <c r="A384" s="129"/>
      <c r="B384" s="17"/>
      <c r="D384" s="15"/>
      <c r="G384" s="5"/>
    </row>
    <row r="385" spans="1:7" s="19" customFormat="1" x14ac:dyDescent="0.25">
      <c r="A385" s="129"/>
      <c r="B385" s="17"/>
      <c r="D385" s="30"/>
      <c r="G385" s="5"/>
    </row>
    <row r="386" spans="1:7" s="19" customFormat="1" x14ac:dyDescent="0.25">
      <c r="A386" s="129"/>
      <c r="B386" s="17"/>
      <c r="D386" s="30"/>
      <c r="G386" s="5"/>
    </row>
    <row r="387" spans="1:7" s="19" customFormat="1" x14ac:dyDescent="0.25">
      <c r="A387" s="129"/>
      <c r="B387" s="17"/>
      <c r="D387" s="15"/>
      <c r="G387" s="5"/>
    </row>
    <row r="388" spans="1:7" s="19" customFormat="1" x14ac:dyDescent="0.25">
      <c r="A388" s="129"/>
      <c r="B388" s="17"/>
      <c r="D388" s="222"/>
      <c r="G388" s="224"/>
    </row>
    <row r="389" spans="1:7" s="19" customFormat="1" x14ac:dyDescent="0.25">
      <c r="A389" s="129"/>
      <c r="B389" s="17"/>
      <c r="D389" s="29"/>
      <c r="G389" s="5"/>
    </row>
    <row r="390" spans="1:7" s="19" customFormat="1" x14ac:dyDescent="0.25">
      <c r="A390" s="129"/>
      <c r="B390" s="17"/>
      <c r="D390" s="15"/>
      <c r="G390" s="5"/>
    </row>
    <row r="391" spans="1:7" s="19" customFormat="1" x14ac:dyDescent="0.25">
      <c r="A391" s="129"/>
      <c r="B391" s="17"/>
      <c r="D391" s="223"/>
      <c r="G391" s="224"/>
    </row>
    <row r="392" spans="1:7" s="19" customFormat="1" x14ac:dyDescent="0.25">
      <c r="A392" s="129"/>
      <c r="B392" s="17"/>
      <c r="D392" s="30"/>
      <c r="G392" s="5"/>
    </row>
    <row r="393" spans="1:7" s="19" customFormat="1" x14ac:dyDescent="0.25">
      <c r="A393" s="129"/>
      <c r="B393" s="17"/>
      <c r="C393" s="3"/>
      <c r="D393" s="222"/>
      <c r="G393" s="224"/>
    </row>
    <row r="394" spans="1:7" s="19" customFormat="1" x14ac:dyDescent="0.25">
      <c r="A394" s="129"/>
      <c r="B394" s="17"/>
      <c r="D394" s="29"/>
      <c r="G394" s="5"/>
    </row>
    <row r="395" spans="1:7" s="19" customFormat="1" x14ac:dyDescent="0.25">
      <c r="A395" s="129"/>
      <c r="B395" s="17"/>
      <c r="D395" s="222"/>
      <c r="G395" s="224"/>
    </row>
    <row r="396" spans="1:7" s="19" customFormat="1" x14ac:dyDescent="0.25">
      <c r="A396" s="129"/>
      <c r="B396" s="17"/>
      <c r="D396" s="222"/>
      <c r="G396" s="224"/>
    </row>
    <row r="397" spans="1:7" s="19" customFormat="1" x14ac:dyDescent="0.25">
      <c r="A397" s="129"/>
      <c r="B397" s="17"/>
      <c r="D397" s="15"/>
      <c r="G397" s="5"/>
    </row>
    <row r="398" spans="1:7" s="19" customFormat="1" x14ac:dyDescent="0.25">
      <c r="A398" s="129"/>
      <c r="B398" s="17"/>
      <c r="D398" s="221"/>
      <c r="G398" s="5"/>
    </row>
    <row r="399" spans="1:7" s="19" customFormat="1" x14ac:dyDescent="0.25">
      <c r="A399" s="129"/>
      <c r="B399" s="17"/>
      <c r="D399" s="222"/>
      <c r="G399" s="224"/>
    </row>
    <row r="400" spans="1:7" s="19" customFormat="1" x14ac:dyDescent="0.25">
      <c r="A400" s="129"/>
      <c r="B400" s="17"/>
      <c r="D400" s="15"/>
      <c r="G400" s="5"/>
    </row>
    <row r="401" spans="1:8" s="19" customFormat="1" x14ac:dyDescent="0.25">
      <c r="A401" s="129"/>
      <c r="B401" s="17"/>
      <c r="D401" s="15"/>
      <c r="G401" s="5"/>
    </row>
    <row r="402" spans="1:8" s="19" customFormat="1" x14ac:dyDescent="0.25">
      <c r="A402" s="129"/>
      <c r="B402" s="17"/>
      <c r="C402" s="3"/>
      <c r="D402" s="223"/>
      <c r="G402" s="224"/>
    </row>
    <row r="403" spans="1:8" s="19" customFormat="1" x14ac:dyDescent="0.25">
      <c r="A403" s="129"/>
      <c r="B403" s="17"/>
      <c r="D403" s="29"/>
      <c r="G403" s="5"/>
    </row>
    <row r="404" spans="1:8" s="19" customFormat="1" x14ac:dyDescent="0.25">
      <c r="A404" s="129"/>
      <c r="B404" s="17"/>
      <c r="D404" s="15"/>
      <c r="G404" s="5"/>
    </row>
    <row r="405" spans="1:8" s="19" customFormat="1" x14ac:dyDescent="0.25">
      <c r="A405" s="129"/>
      <c r="B405" s="17"/>
      <c r="D405" s="15"/>
      <c r="G405" s="5"/>
    </row>
    <row r="406" spans="1:8" s="19" customFormat="1" x14ac:dyDescent="0.25">
      <c r="A406" s="129"/>
      <c r="B406" s="17"/>
      <c r="D406" s="222"/>
      <c r="G406" s="224"/>
    </row>
    <row r="407" spans="1:8" s="19" customFormat="1" x14ac:dyDescent="0.25">
      <c r="A407" s="129"/>
      <c r="B407" s="4"/>
      <c r="D407" s="223"/>
      <c r="G407" s="224"/>
    </row>
    <row r="408" spans="1:8" s="19" customFormat="1" x14ac:dyDescent="0.25">
      <c r="A408" s="129"/>
      <c r="B408" s="4"/>
      <c r="D408" s="223"/>
      <c r="G408" s="224"/>
    </row>
    <row r="409" spans="1:8" s="19" customFormat="1" x14ac:dyDescent="0.25">
      <c r="A409" s="138"/>
      <c r="B409" s="95"/>
      <c r="C409" s="96"/>
      <c r="D409" s="97"/>
      <c r="E409" s="96"/>
      <c r="F409" s="96"/>
      <c r="G409" s="98"/>
      <c r="H409" s="96"/>
    </row>
    <row r="410" spans="1:8" s="19" customFormat="1" x14ac:dyDescent="0.25">
      <c r="A410" s="79">
        <v>45824</v>
      </c>
      <c r="B410" s="17" t="s">
        <v>156</v>
      </c>
      <c r="C410" s="19">
        <v>1</v>
      </c>
      <c r="D410" s="34"/>
      <c r="E410" s="31"/>
      <c r="F410" s="31"/>
      <c r="G410" s="32"/>
      <c r="H410" s="192"/>
    </row>
    <row r="411" spans="1:8" s="19" customFormat="1" x14ac:dyDescent="0.25">
      <c r="A411" s="79"/>
      <c r="B411" s="17" t="s">
        <v>293</v>
      </c>
      <c r="C411" s="19">
        <v>2</v>
      </c>
      <c r="D411" s="15"/>
      <c r="E411" s="3"/>
      <c r="F411" s="3"/>
      <c r="G411" s="5"/>
      <c r="H411" s="83"/>
    </row>
    <row r="412" spans="1:8" s="19" customFormat="1" x14ac:dyDescent="0.25">
      <c r="A412" s="129"/>
      <c r="B412" s="19" t="s">
        <v>292</v>
      </c>
      <c r="C412" s="19">
        <v>3</v>
      </c>
      <c r="D412" s="29"/>
      <c r="E412" s="3"/>
      <c r="F412" s="3"/>
      <c r="G412" s="5"/>
      <c r="H412" s="83"/>
    </row>
    <row r="413" spans="1:8" s="19" customFormat="1" x14ac:dyDescent="0.25">
      <c r="A413" s="129"/>
      <c r="C413" s="19">
        <v>4</v>
      </c>
      <c r="D413" s="29"/>
      <c r="E413" s="3"/>
      <c r="F413" s="3"/>
      <c r="G413" s="5"/>
      <c r="H413" s="83"/>
    </row>
    <row r="414" spans="1:8" s="19" customFormat="1" x14ac:dyDescent="0.25">
      <c r="A414" s="129"/>
      <c r="C414" s="19">
        <v>5</v>
      </c>
      <c r="D414" s="34"/>
      <c r="E414" s="31"/>
      <c r="F414" s="31"/>
      <c r="G414" s="32"/>
      <c r="H414" s="103"/>
    </row>
    <row r="415" spans="1:8" s="19" customFormat="1" x14ac:dyDescent="0.25">
      <c r="A415" s="129"/>
      <c r="C415" s="3">
        <v>6</v>
      </c>
      <c r="D415" s="30"/>
      <c r="E415" s="3"/>
      <c r="F415" s="3"/>
      <c r="G415" s="5"/>
      <c r="H415" s="101"/>
    </row>
    <row r="416" spans="1:8" s="19" customFormat="1" x14ac:dyDescent="0.25">
      <c r="A416" s="129"/>
      <c r="C416" s="19">
        <v>7</v>
      </c>
      <c r="D416" s="29"/>
      <c r="E416" s="3"/>
      <c r="F416" s="3"/>
      <c r="G416" s="5"/>
      <c r="H416" s="101"/>
    </row>
    <row r="417" spans="1:8" s="19" customFormat="1" x14ac:dyDescent="0.25">
      <c r="A417" s="129"/>
      <c r="C417" s="19">
        <v>8</v>
      </c>
      <c r="D417" s="29"/>
      <c r="E417" s="3"/>
      <c r="F417" s="3"/>
      <c r="G417" s="5"/>
      <c r="H417" s="101"/>
    </row>
    <row r="418" spans="1:8" s="19" customFormat="1" x14ac:dyDescent="0.25">
      <c r="A418" s="129"/>
      <c r="C418" s="19">
        <v>9</v>
      </c>
      <c r="D418" s="34"/>
      <c r="E418" s="31"/>
      <c r="F418" s="31"/>
      <c r="G418" s="32"/>
      <c r="H418" s="192"/>
    </row>
    <row r="419" spans="1:8" s="19" customFormat="1" x14ac:dyDescent="0.25">
      <c r="A419" s="129"/>
      <c r="C419" s="19">
        <v>10</v>
      </c>
      <c r="D419" s="30"/>
      <c r="E419" s="3"/>
      <c r="F419" s="3"/>
      <c r="G419" s="5"/>
      <c r="H419" s="83"/>
    </row>
    <row r="420" spans="1:8" s="19" customFormat="1" x14ac:dyDescent="0.25">
      <c r="A420" s="129"/>
      <c r="C420" s="19">
        <v>11</v>
      </c>
      <c r="D420" s="30"/>
      <c r="E420" s="3"/>
      <c r="F420" s="3"/>
      <c r="G420" s="5"/>
      <c r="H420" s="83"/>
    </row>
    <row r="421" spans="1:8" s="19" customFormat="1" x14ac:dyDescent="0.25">
      <c r="A421" s="129"/>
      <c r="C421" s="19">
        <v>12</v>
      </c>
      <c r="D421" s="161"/>
      <c r="E421" s="31"/>
      <c r="F421" s="31"/>
      <c r="G421" s="32"/>
      <c r="H421" s="103"/>
    </row>
    <row r="422" spans="1:8" s="19" customFormat="1" x14ac:dyDescent="0.25">
      <c r="A422" s="129"/>
      <c r="C422" s="19">
        <v>13</v>
      </c>
      <c r="D422" s="110"/>
      <c r="E422" s="3"/>
      <c r="F422" s="3"/>
      <c r="G422" s="5"/>
      <c r="H422" s="101"/>
    </row>
    <row r="423" spans="1:8" s="19" customFormat="1" x14ac:dyDescent="0.25">
      <c r="A423" s="129"/>
      <c r="C423" s="19">
        <v>14</v>
      </c>
      <c r="D423" s="34"/>
      <c r="E423" s="31"/>
      <c r="F423" s="31"/>
      <c r="G423" s="32"/>
      <c r="H423" s="192"/>
    </row>
    <row r="424" spans="1:8" s="19" customFormat="1" x14ac:dyDescent="0.25">
      <c r="A424" s="129"/>
      <c r="C424" s="19">
        <v>15</v>
      </c>
      <c r="D424" s="15"/>
      <c r="E424" s="3"/>
      <c r="F424" s="3"/>
      <c r="G424" s="5"/>
      <c r="H424" s="83"/>
    </row>
    <row r="425" spans="1:8" s="19" customFormat="1" x14ac:dyDescent="0.25">
      <c r="A425" s="129"/>
      <c r="C425" s="3">
        <v>16</v>
      </c>
      <c r="D425" s="30"/>
      <c r="E425" s="3"/>
      <c r="F425" s="3"/>
      <c r="G425" s="5"/>
      <c r="H425" s="83"/>
    </row>
    <row r="426" spans="1:8" s="19" customFormat="1" x14ac:dyDescent="0.25">
      <c r="A426" s="129"/>
      <c r="C426" s="19">
        <v>17</v>
      </c>
      <c r="D426" s="29"/>
      <c r="E426" s="3"/>
      <c r="F426" s="3"/>
      <c r="G426" s="5"/>
      <c r="H426" s="83"/>
    </row>
    <row r="427" spans="1:8" s="19" customFormat="1" x14ac:dyDescent="0.25">
      <c r="A427" s="129"/>
      <c r="C427" s="19">
        <v>18</v>
      </c>
      <c r="D427" s="29"/>
      <c r="E427" s="3"/>
      <c r="F427" s="3"/>
      <c r="G427" s="5"/>
      <c r="H427" s="83"/>
    </row>
    <row r="428" spans="1:8" s="19" customFormat="1" x14ac:dyDescent="0.25">
      <c r="A428" s="129"/>
      <c r="C428" s="19">
        <v>19</v>
      </c>
      <c r="D428" s="161"/>
      <c r="E428" s="31"/>
      <c r="F428" s="31"/>
      <c r="G428" s="32"/>
      <c r="H428" s="103"/>
    </row>
    <row r="429" spans="1:8" s="19" customFormat="1" x14ac:dyDescent="0.25">
      <c r="A429" s="129"/>
      <c r="C429" s="19">
        <v>20</v>
      </c>
      <c r="D429" s="15"/>
      <c r="E429" s="3"/>
      <c r="F429" s="3"/>
      <c r="G429" s="5"/>
      <c r="H429" s="101"/>
    </row>
    <row r="430" spans="1:8" s="19" customFormat="1" x14ac:dyDescent="0.25">
      <c r="A430" s="129"/>
      <c r="C430" s="3">
        <v>21</v>
      </c>
      <c r="D430" s="34"/>
      <c r="E430" s="31"/>
      <c r="F430" s="31"/>
      <c r="G430" s="32"/>
      <c r="H430" s="192"/>
    </row>
    <row r="431" spans="1:8" s="19" customFormat="1" x14ac:dyDescent="0.25">
      <c r="A431" s="129"/>
      <c r="C431" s="19">
        <v>22</v>
      </c>
      <c r="D431" s="15"/>
      <c r="E431" s="3"/>
      <c r="F431" s="3"/>
      <c r="G431" s="5"/>
      <c r="H431" s="83"/>
    </row>
    <row r="432" spans="1:8" s="19" customFormat="1" x14ac:dyDescent="0.25">
      <c r="A432" s="129"/>
      <c r="C432" s="19">
        <v>23</v>
      </c>
      <c r="D432" s="15"/>
      <c r="E432" s="3"/>
      <c r="F432" s="3"/>
      <c r="G432" s="5"/>
      <c r="H432" s="83"/>
    </row>
    <row r="433" spans="1:8" s="19" customFormat="1" x14ac:dyDescent="0.25">
      <c r="A433" s="129"/>
      <c r="C433" s="19">
        <v>24</v>
      </c>
      <c r="D433" s="15"/>
      <c r="E433" s="3"/>
      <c r="F433" s="3"/>
      <c r="G433" s="5"/>
      <c r="H433" s="83"/>
    </row>
    <row r="434" spans="1:8" x14ac:dyDescent="0.25">
      <c r="A434" s="138"/>
      <c r="B434" s="95"/>
      <c r="C434" s="96"/>
      <c r="D434" s="97"/>
      <c r="E434" s="96"/>
      <c r="F434" s="96"/>
      <c r="G434" s="98"/>
      <c r="H434" s="96"/>
    </row>
    <row r="435" spans="1:8" x14ac:dyDescent="0.25">
      <c r="A435" s="79">
        <v>45825</v>
      </c>
      <c r="B435" s="17" t="s">
        <v>235</v>
      </c>
      <c r="C435" s="19" t="s">
        <v>185</v>
      </c>
      <c r="D435" s="15"/>
      <c r="H435" s="102"/>
    </row>
    <row r="436" spans="1:8" x14ac:dyDescent="0.25">
      <c r="B436" s="17" t="s">
        <v>392</v>
      </c>
      <c r="C436" s="19"/>
      <c r="D436" s="15"/>
      <c r="H436" s="102"/>
    </row>
    <row r="437" spans="1:8" x14ac:dyDescent="0.25">
      <c r="B437" s="3"/>
      <c r="C437" s="19"/>
      <c r="D437" s="29"/>
      <c r="H437" s="102"/>
    </row>
    <row r="438" spans="1:8" x14ac:dyDescent="0.25">
      <c r="A438" s="138"/>
      <c r="B438" s="95"/>
      <c r="C438" s="96"/>
      <c r="D438" s="97"/>
      <c r="E438" s="96"/>
      <c r="F438" s="96"/>
      <c r="G438" s="98"/>
      <c r="H438" s="96"/>
    </row>
    <row r="439" spans="1:8" s="19" customFormat="1" x14ac:dyDescent="0.25">
      <c r="A439" s="79">
        <v>45825</v>
      </c>
      <c r="B439" s="17" t="s">
        <v>172</v>
      </c>
      <c r="C439" s="3" t="s">
        <v>185</v>
      </c>
      <c r="D439" s="30"/>
      <c r="G439" s="5"/>
      <c r="H439" s="102"/>
    </row>
    <row r="440" spans="1:8" s="19" customFormat="1" x14ac:dyDescent="0.25">
      <c r="A440" s="129"/>
      <c r="B440" s="17" t="s">
        <v>199</v>
      </c>
      <c r="C440" s="3"/>
      <c r="D440" s="15"/>
      <c r="E440" s="3"/>
      <c r="F440" s="3"/>
      <c r="G440" s="5"/>
      <c r="H440" s="102"/>
    </row>
    <row r="441" spans="1:8" s="19" customFormat="1" x14ac:dyDescent="0.25">
      <c r="A441" s="129"/>
      <c r="B441" s="19" t="s">
        <v>203</v>
      </c>
      <c r="C441" s="3"/>
      <c r="D441" s="15"/>
      <c r="E441" s="3"/>
      <c r="F441" s="3"/>
      <c r="G441" s="5"/>
      <c r="H441" s="102"/>
    </row>
    <row r="442" spans="1:8" s="19" customFormat="1" x14ac:dyDescent="0.25">
      <c r="D442" s="161"/>
      <c r="E442" s="31"/>
      <c r="F442" s="31"/>
      <c r="G442" s="32"/>
      <c r="H442" s="187"/>
    </row>
    <row r="443" spans="1:8" s="19" customFormat="1" x14ac:dyDescent="0.25">
      <c r="A443" s="129"/>
      <c r="C443" s="3"/>
      <c r="D443" s="29"/>
      <c r="E443" s="3"/>
      <c r="F443" s="3"/>
      <c r="G443" s="5"/>
      <c r="H443" s="101"/>
    </row>
    <row r="444" spans="1:8" s="19" customFormat="1" x14ac:dyDescent="0.25">
      <c r="A444" s="129"/>
      <c r="C444" s="3"/>
      <c r="D444" s="15"/>
      <c r="E444" s="3"/>
      <c r="F444" s="3"/>
      <c r="G444" s="5"/>
      <c r="H444" s="101"/>
    </row>
    <row r="445" spans="1:8" s="19" customFormat="1" x14ac:dyDescent="0.25">
      <c r="A445" s="129"/>
      <c r="C445" s="3"/>
      <c r="D445" s="15"/>
      <c r="E445" s="3"/>
      <c r="F445" s="3"/>
      <c r="G445" s="5"/>
      <c r="H445" s="101"/>
    </row>
    <row r="446" spans="1:8" s="19" customFormat="1" x14ac:dyDescent="0.25">
      <c r="A446" s="129"/>
      <c r="C446" s="3"/>
      <c r="D446" s="15"/>
      <c r="E446" s="3"/>
      <c r="F446" s="3"/>
      <c r="G446" s="5"/>
      <c r="H446" s="101"/>
    </row>
    <row r="447" spans="1:8" s="19" customFormat="1" x14ac:dyDescent="0.25">
      <c r="A447" s="129"/>
      <c r="C447" s="3"/>
      <c r="D447" s="15"/>
      <c r="E447" s="3"/>
      <c r="F447" s="3"/>
      <c r="G447" s="5"/>
      <c r="H447" s="101"/>
    </row>
    <row r="448" spans="1:8" s="19" customFormat="1" x14ac:dyDescent="0.25">
      <c r="A448" s="138"/>
      <c r="B448" s="95"/>
      <c r="C448" s="96"/>
      <c r="D448" s="97"/>
      <c r="E448" s="96"/>
      <c r="F448" s="96"/>
      <c r="G448" s="98"/>
      <c r="H448" s="96"/>
    </row>
    <row r="449" spans="1:9" x14ac:dyDescent="0.25">
      <c r="A449" s="79">
        <v>45831</v>
      </c>
      <c r="B449" s="17" t="s">
        <v>405</v>
      </c>
      <c r="D449" s="29"/>
    </row>
    <row r="450" spans="1:9" x14ac:dyDescent="0.25">
      <c r="A450" s="79"/>
      <c r="B450" s="17"/>
      <c r="D450" s="15"/>
    </row>
    <row r="451" spans="1:9" x14ac:dyDescent="0.25">
      <c r="A451" s="79"/>
      <c r="B451" s="17"/>
      <c r="D451" s="110"/>
    </row>
    <row r="452" spans="1:9" x14ac:dyDescent="0.25">
      <c r="A452" s="79"/>
      <c r="B452" s="17"/>
      <c r="D452" s="15"/>
    </row>
    <row r="453" spans="1:9" x14ac:dyDescent="0.25">
      <c r="A453" s="79"/>
      <c r="B453" s="17"/>
      <c r="D453" s="29"/>
    </row>
    <row r="454" spans="1:9" x14ac:dyDescent="0.25">
      <c r="A454" s="79"/>
      <c r="B454" s="17"/>
      <c r="D454" s="15"/>
    </row>
    <row r="455" spans="1:9" x14ac:dyDescent="0.25">
      <c r="A455" s="79"/>
      <c r="B455" s="17"/>
      <c r="D455" s="15"/>
    </row>
    <row r="456" spans="1:9" x14ac:dyDescent="0.25">
      <c r="A456" s="79"/>
      <c r="B456" s="17"/>
      <c r="D456" s="15"/>
    </row>
    <row r="457" spans="1:9" x14ac:dyDescent="0.25">
      <c r="A457" s="79"/>
      <c r="B457" s="17"/>
      <c r="D457" s="15"/>
    </row>
    <row r="458" spans="1:9" x14ac:dyDescent="0.25">
      <c r="A458" s="79"/>
      <c r="B458" s="17"/>
      <c r="D458" s="15"/>
    </row>
    <row r="459" spans="1:9" x14ac:dyDescent="0.25">
      <c r="D459" s="29"/>
    </row>
    <row r="460" spans="1:9" x14ac:dyDescent="0.25">
      <c r="A460" s="138"/>
      <c r="B460" s="95"/>
      <c r="C460" s="96"/>
      <c r="D460" s="97"/>
      <c r="E460" s="96"/>
      <c r="F460" s="96"/>
      <c r="G460" s="98"/>
      <c r="H460" s="96"/>
    </row>
    <row r="461" spans="1:9" x14ac:dyDescent="0.25">
      <c r="A461" s="79">
        <v>45834</v>
      </c>
      <c r="B461" s="17" t="s">
        <v>384</v>
      </c>
      <c r="D461" s="30"/>
      <c r="H461" s="101"/>
      <c r="I461" s="19"/>
    </row>
    <row r="462" spans="1:9" x14ac:dyDescent="0.25">
      <c r="B462" s="17" t="s">
        <v>386</v>
      </c>
      <c r="D462" s="15"/>
      <c r="H462" s="101"/>
      <c r="I462" s="19"/>
    </row>
    <row r="463" spans="1:9" x14ac:dyDescent="0.25">
      <c r="A463" s="138"/>
      <c r="B463" s="95"/>
      <c r="C463" s="96"/>
      <c r="D463" s="97"/>
      <c r="E463" s="96"/>
      <c r="F463" s="96"/>
      <c r="G463" s="98"/>
      <c r="H463" s="96"/>
    </row>
    <row r="464" spans="1:9" s="19" customFormat="1" ht="13.2" customHeight="1" x14ac:dyDescent="0.25">
      <c r="A464" s="79">
        <v>45836</v>
      </c>
      <c r="B464" s="17" t="s">
        <v>264</v>
      </c>
      <c r="C464" s="19" t="s">
        <v>265</v>
      </c>
      <c r="D464" s="30"/>
      <c r="E464" s="3"/>
      <c r="F464" s="3"/>
      <c r="G464" s="5"/>
    </row>
    <row r="465" spans="1:8" s="19" customFormat="1" ht="13.2" customHeight="1" x14ac:dyDescent="0.25">
      <c r="A465" s="79"/>
      <c r="B465" s="19" t="s">
        <v>404</v>
      </c>
      <c r="D465" s="15"/>
      <c r="E465" s="3"/>
      <c r="F465" s="3"/>
      <c r="G465" s="5"/>
    </row>
    <row r="466" spans="1:8" s="19" customFormat="1" x14ac:dyDescent="0.25">
      <c r="A466" s="138"/>
      <c r="B466" s="95"/>
      <c r="C466" s="96"/>
      <c r="D466" s="97"/>
      <c r="E466" s="96"/>
      <c r="F466" s="96"/>
      <c r="G466" s="98"/>
      <c r="H466" s="96"/>
    </row>
    <row r="467" spans="1:8" s="19" customFormat="1" x14ac:dyDescent="0.25">
      <c r="A467" s="79"/>
      <c r="B467" s="17" t="s">
        <v>295</v>
      </c>
      <c r="C467" s="3" t="s">
        <v>184</v>
      </c>
      <c r="D467" s="15"/>
      <c r="E467" s="3"/>
      <c r="F467" s="3"/>
      <c r="G467" s="5"/>
    </row>
    <row r="468" spans="1:8" s="19" customFormat="1" x14ac:dyDescent="0.25">
      <c r="A468" s="129"/>
      <c r="B468" s="17"/>
      <c r="C468" s="3"/>
      <c r="D468" s="15"/>
      <c r="E468" s="3"/>
      <c r="F468" s="3"/>
      <c r="G468" s="5"/>
    </row>
    <row r="469" spans="1:8" s="19" customFormat="1" x14ac:dyDescent="0.25">
      <c r="A469" s="129"/>
      <c r="B469" s="17"/>
      <c r="C469" s="3"/>
      <c r="D469" s="107"/>
      <c r="E469" s="108"/>
      <c r="F469" s="108"/>
      <c r="G469" s="82"/>
      <c r="H469" s="83"/>
    </row>
    <row r="480" spans="1:8" s="19" customFormat="1" x14ac:dyDescent="0.25">
      <c r="A480" s="138"/>
      <c r="B480" s="95"/>
      <c r="C480" s="96"/>
      <c r="D480" s="97"/>
      <c r="E480" s="96"/>
      <c r="F480" s="96"/>
      <c r="G480" s="98"/>
      <c r="H480" s="96"/>
    </row>
    <row r="481" spans="1:8" s="19" customFormat="1" ht="13.2" customHeight="1" x14ac:dyDescent="0.25">
      <c r="A481" s="79">
        <v>45843</v>
      </c>
      <c r="B481" s="17" t="s">
        <v>264</v>
      </c>
      <c r="C481" s="19" t="s">
        <v>265</v>
      </c>
      <c r="D481" s="30"/>
      <c r="E481" s="3"/>
      <c r="F481" s="3"/>
      <c r="G481" s="5"/>
    </row>
    <row r="482" spans="1:8" s="19" customFormat="1" ht="13.2" customHeight="1" x14ac:dyDescent="0.25">
      <c r="A482" s="79"/>
      <c r="B482" s="19" t="s">
        <v>379</v>
      </c>
      <c r="D482" s="15"/>
      <c r="E482" s="3"/>
      <c r="F482" s="3"/>
      <c r="G482" s="5"/>
    </row>
    <row r="483" spans="1:8" s="19" customFormat="1" x14ac:dyDescent="0.25">
      <c r="A483" s="138"/>
      <c r="B483" s="95"/>
      <c r="C483" s="96"/>
      <c r="D483" s="97"/>
      <c r="E483" s="96"/>
      <c r="F483" s="96"/>
      <c r="G483" s="98"/>
      <c r="H483" s="96"/>
    </row>
    <row r="484" spans="1:8" x14ac:dyDescent="0.25">
      <c r="A484" s="129">
        <v>45847</v>
      </c>
      <c r="B484" s="17" t="s">
        <v>233</v>
      </c>
      <c r="C484" s="19" t="s">
        <v>184</v>
      </c>
      <c r="D484" s="29"/>
      <c r="E484" s="19"/>
      <c r="F484" s="19"/>
      <c r="H484" s="102"/>
    </row>
    <row r="485" spans="1:8" x14ac:dyDescent="0.25">
      <c r="A485" s="79"/>
      <c r="B485" s="17" t="s">
        <v>239</v>
      </c>
      <c r="C485" s="19"/>
      <c r="D485" s="15"/>
      <c r="E485" s="19"/>
      <c r="F485" s="19"/>
      <c r="H485" s="102"/>
    </row>
    <row r="486" spans="1:8" x14ac:dyDescent="0.25">
      <c r="B486" s="3"/>
      <c r="C486" s="19"/>
      <c r="D486" s="15"/>
      <c r="E486" s="19"/>
      <c r="F486" s="19"/>
      <c r="H486" s="101"/>
    </row>
    <row r="487" spans="1:8" x14ac:dyDescent="0.25">
      <c r="B487" s="17"/>
      <c r="C487" s="19"/>
      <c r="D487" s="15"/>
      <c r="E487" s="19"/>
      <c r="F487" s="19"/>
      <c r="H487" s="101"/>
    </row>
    <row r="488" spans="1:8" x14ac:dyDescent="0.25">
      <c r="B488" s="17"/>
      <c r="C488" s="19"/>
      <c r="D488" s="29"/>
      <c r="E488" s="19"/>
      <c r="F488" s="19"/>
      <c r="H488" s="101"/>
    </row>
    <row r="489" spans="1:8" x14ac:dyDescent="0.25">
      <c r="B489" s="17"/>
      <c r="C489" s="19"/>
      <c r="D489" s="15"/>
      <c r="E489" s="19"/>
      <c r="F489" s="19"/>
      <c r="H489" s="101"/>
    </row>
    <row r="490" spans="1:8" x14ac:dyDescent="0.25">
      <c r="B490" s="17"/>
      <c r="C490" s="19"/>
      <c r="D490" s="15"/>
      <c r="E490" s="19"/>
      <c r="F490" s="19"/>
      <c r="H490" s="101"/>
    </row>
    <row r="491" spans="1:8" x14ac:dyDescent="0.25">
      <c r="B491" s="17"/>
      <c r="C491" s="19"/>
      <c r="D491" s="15"/>
      <c r="E491" s="19"/>
      <c r="F491" s="19"/>
      <c r="H491" s="101"/>
    </row>
  </sheetData>
  <autoFilter ref="D139:H139" xr:uid="{53C7F27C-4819-4FE5-8C6F-119DF22785F8}">
    <sortState xmlns:xlrd2="http://schemas.microsoft.com/office/spreadsheetml/2017/richdata2" ref="D140:H167">
      <sortCondition ref="H139"/>
    </sortState>
  </autoFilter>
  <phoneticPr fontId="45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49"/>
  <sheetViews>
    <sheetView zoomScaleNormal="100" workbookViewId="0">
      <pane ySplit="1" topLeftCell="A151" activePane="bottomLeft" state="frozenSplit"/>
      <selection pane="bottomLeft" activeCell="D137" sqref="D137"/>
    </sheetView>
  </sheetViews>
  <sheetFormatPr baseColWidth="10" defaultColWidth="11.44140625" defaultRowHeight="13.2" outlineLevelRow="1" x14ac:dyDescent="0.25"/>
  <cols>
    <col min="1" max="1" width="11.5546875" style="129" customWidth="1"/>
    <col min="2" max="2" width="52" style="4" customWidth="1"/>
    <col min="3" max="3" width="12.33203125" style="3" customWidth="1"/>
    <col min="4" max="4" width="25.6640625" style="6" customWidth="1"/>
    <col min="5" max="5" width="8.44140625" style="3" customWidth="1"/>
    <col min="6" max="6" width="9.44140625" style="3" customWidth="1"/>
    <col min="7" max="7" width="12.6640625" style="5" customWidth="1"/>
    <col min="8" max="8" width="15.88671875" style="3" customWidth="1"/>
    <col min="9" max="9" width="3.88671875" style="3" customWidth="1"/>
    <col min="10" max="10" width="6.77734375" style="3" customWidth="1"/>
    <col min="11" max="11" width="7.5546875" style="3" customWidth="1"/>
    <col min="12" max="12" width="6.77734375" style="3" customWidth="1"/>
    <col min="13" max="13" width="3.33203125" style="3" customWidth="1"/>
    <col min="14" max="16" width="7.5546875" style="3" customWidth="1"/>
    <col min="17" max="17" width="3.33203125" style="3" customWidth="1"/>
    <col min="18" max="16384" width="11.44140625" style="3"/>
  </cols>
  <sheetData>
    <row r="1" spans="1:16" ht="13.2" customHeight="1" thickBot="1" x14ac:dyDescent="0.3">
      <c r="A1" s="79" t="s">
        <v>0</v>
      </c>
      <c r="B1" s="1" t="s">
        <v>25</v>
      </c>
      <c r="C1" s="16" t="s">
        <v>26</v>
      </c>
      <c r="D1" s="1" t="s">
        <v>27</v>
      </c>
      <c r="E1" s="1" t="s">
        <v>28</v>
      </c>
      <c r="F1" s="1" t="s">
        <v>29</v>
      </c>
      <c r="G1" s="2" t="s">
        <v>30</v>
      </c>
      <c r="H1" s="1" t="s">
        <v>31</v>
      </c>
      <c r="J1" s="131" t="s">
        <v>159</v>
      </c>
      <c r="K1" s="132" t="s">
        <v>160</v>
      </c>
      <c r="L1" s="133" t="s">
        <v>161</v>
      </c>
      <c r="M1" s="134"/>
      <c r="N1" s="135" t="s">
        <v>162</v>
      </c>
      <c r="O1" s="136" t="s">
        <v>163</v>
      </c>
      <c r="P1" s="137" t="s">
        <v>164</v>
      </c>
    </row>
    <row r="2" spans="1:16" ht="13.2" hidden="1" customHeight="1" outlineLevel="1" x14ac:dyDescent="0.25">
      <c r="A2" s="79"/>
      <c r="D2" s="110" t="s">
        <v>226</v>
      </c>
    </row>
    <row r="3" spans="1:16" ht="13.2" hidden="1" customHeight="1" outlineLevel="1" x14ac:dyDescent="0.25">
      <c r="A3" s="79"/>
      <c r="D3" s="30" t="s">
        <v>118</v>
      </c>
    </row>
    <row r="4" spans="1:16" ht="13.2" hidden="1" customHeight="1" outlineLevel="1" x14ac:dyDescent="0.25">
      <c r="A4" s="79"/>
      <c r="D4" s="29" t="s">
        <v>124</v>
      </c>
    </row>
    <row r="5" spans="1:16" ht="13.2" hidden="1" customHeight="1" outlineLevel="1" x14ac:dyDescent="0.25">
      <c r="A5" s="79"/>
      <c r="D5" s="29" t="s">
        <v>416</v>
      </c>
    </row>
    <row r="6" spans="1:16" ht="13.2" hidden="1" customHeight="1" outlineLevel="1" x14ac:dyDescent="0.25">
      <c r="A6" s="79"/>
      <c r="D6" s="15" t="s">
        <v>179</v>
      </c>
    </row>
    <row r="7" spans="1:16" ht="13.2" hidden="1" customHeight="1" outlineLevel="1" x14ac:dyDescent="0.25">
      <c r="A7" s="79"/>
      <c r="D7" s="15" t="s">
        <v>121</v>
      </c>
    </row>
    <row r="8" spans="1:16" ht="13.2" hidden="1" customHeight="1" outlineLevel="1" x14ac:dyDescent="0.25">
      <c r="A8" s="79"/>
      <c r="C8" s="128"/>
      <c r="D8" s="112" t="s">
        <v>288</v>
      </c>
    </row>
    <row r="9" spans="1:16" ht="13.2" hidden="1" customHeight="1" outlineLevel="1" x14ac:dyDescent="0.25">
      <c r="A9" s="79"/>
      <c r="D9" s="30" t="s">
        <v>114</v>
      </c>
    </row>
    <row r="10" spans="1:16" ht="13.2" hidden="1" customHeight="1" outlineLevel="1" x14ac:dyDescent="0.25">
      <c r="A10" s="79"/>
      <c r="D10" s="30" t="s">
        <v>117</v>
      </c>
    </row>
    <row r="11" spans="1:16" ht="13.2" hidden="1" customHeight="1" outlineLevel="1" x14ac:dyDescent="0.25">
      <c r="A11" s="79"/>
      <c r="D11" s="29" t="s">
        <v>128</v>
      </c>
    </row>
    <row r="12" spans="1:16" ht="13.2" hidden="1" customHeight="1" outlineLevel="1" x14ac:dyDescent="0.25">
      <c r="A12" s="79"/>
      <c r="D12" s="29" t="s">
        <v>277</v>
      </c>
    </row>
    <row r="13" spans="1:16" ht="13.2" hidden="1" customHeight="1" outlineLevel="1" x14ac:dyDescent="0.25">
      <c r="A13" s="79"/>
      <c r="D13" s="15" t="s">
        <v>126</v>
      </c>
    </row>
    <row r="14" spans="1:16" ht="13.2" hidden="1" customHeight="1" outlineLevel="1" x14ac:dyDescent="0.25">
      <c r="A14" s="79"/>
      <c r="D14" s="15" t="s">
        <v>123</v>
      </c>
    </row>
    <row r="15" spans="1:16" ht="13.2" hidden="1" customHeight="1" outlineLevel="1" x14ac:dyDescent="0.25">
      <c r="A15" s="79"/>
      <c r="D15" s="15" t="s">
        <v>328</v>
      </c>
    </row>
    <row r="16" spans="1:16" ht="13.2" hidden="1" customHeight="1" outlineLevel="1" x14ac:dyDescent="0.25">
      <c r="A16" s="79"/>
      <c r="D16" s="15" t="s">
        <v>297</v>
      </c>
    </row>
    <row r="17" spans="1:4" ht="13.2" hidden="1" customHeight="1" outlineLevel="1" x14ac:dyDescent="0.25">
      <c r="A17" s="79"/>
      <c r="D17" s="227" t="s">
        <v>406</v>
      </c>
    </row>
    <row r="18" spans="1:4" ht="13.2" hidden="1" customHeight="1" outlineLevel="1" x14ac:dyDescent="0.25">
      <c r="A18" s="79"/>
      <c r="D18" s="110" t="s">
        <v>230</v>
      </c>
    </row>
    <row r="19" spans="1:4" ht="13.2" hidden="1" customHeight="1" outlineLevel="1" x14ac:dyDescent="0.25">
      <c r="A19" s="79"/>
      <c r="D19" s="29" t="s">
        <v>269</v>
      </c>
    </row>
    <row r="20" spans="1:4" ht="13.2" hidden="1" customHeight="1" outlineLevel="1" x14ac:dyDescent="0.25">
      <c r="A20" s="79"/>
      <c r="D20" s="15" t="s">
        <v>178</v>
      </c>
    </row>
    <row r="21" spans="1:4" ht="13.2" hidden="1" customHeight="1" outlineLevel="1" x14ac:dyDescent="0.25">
      <c r="A21" s="79"/>
      <c r="D21" s="15" t="s">
        <v>217</v>
      </c>
    </row>
    <row r="22" spans="1:4" ht="13.2" hidden="1" customHeight="1" outlineLevel="1" x14ac:dyDescent="0.25">
      <c r="A22" s="79"/>
      <c r="D22" s="225" t="s">
        <v>407</v>
      </c>
    </row>
    <row r="23" spans="1:4" ht="13.2" hidden="1" customHeight="1" outlineLevel="1" x14ac:dyDescent="0.25">
      <c r="A23" s="79"/>
      <c r="D23" s="29" t="s">
        <v>129</v>
      </c>
    </row>
    <row r="24" spans="1:4" ht="13.2" hidden="1" customHeight="1" outlineLevel="1" x14ac:dyDescent="0.25">
      <c r="A24" s="79"/>
      <c r="D24" s="15" t="s">
        <v>125</v>
      </c>
    </row>
    <row r="25" spans="1:4" ht="13.2" hidden="1" customHeight="1" outlineLevel="1" x14ac:dyDescent="0.25">
      <c r="A25" s="79"/>
      <c r="D25" s="15" t="s">
        <v>262</v>
      </c>
    </row>
    <row r="26" spans="1:4" ht="13.2" hidden="1" customHeight="1" outlineLevel="1" x14ac:dyDescent="0.25">
      <c r="A26" s="79"/>
      <c r="D26" s="29" t="s">
        <v>223</v>
      </c>
    </row>
    <row r="27" spans="1:4" ht="13.2" hidden="1" customHeight="1" outlineLevel="1" x14ac:dyDescent="0.25">
      <c r="A27" s="79"/>
      <c r="D27" s="29" t="s">
        <v>130</v>
      </c>
    </row>
    <row r="28" spans="1:4" ht="13.2" hidden="1" customHeight="1" outlineLevel="1" x14ac:dyDescent="0.25">
      <c r="A28" s="79"/>
      <c r="D28" s="29" t="s">
        <v>131</v>
      </c>
    </row>
    <row r="29" spans="1:4" ht="13.2" hidden="1" customHeight="1" outlineLevel="1" x14ac:dyDescent="0.25">
      <c r="A29" s="79"/>
      <c r="D29" s="110" t="s">
        <v>634</v>
      </c>
    </row>
    <row r="30" spans="1:4" ht="13.2" hidden="1" customHeight="1" outlineLevel="1" x14ac:dyDescent="0.25">
      <c r="A30" s="79"/>
      <c r="D30" s="29" t="s">
        <v>132</v>
      </c>
    </row>
    <row r="31" spans="1:4" ht="13.2" hidden="1" customHeight="1" outlineLevel="1" x14ac:dyDescent="0.25">
      <c r="A31" s="79"/>
      <c r="D31" s="30" t="s">
        <v>122</v>
      </c>
    </row>
    <row r="32" spans="1:4" ht="13.2" hidden="1" customHeight="1" outlineLevel="1" x14ac:dyDescent="0.25">
      <c r="A32" s="79"/>
      <c r="D32" s="29" t="s">
        <v>133</v>
      </c>
    </row>
    <row r="33" spans="1:16" ht="13.2" hidden="1" customHeight="1" outlineLevel="1" x14ac:dyDescent="0.25">
      <c r="A33" s="79"/>
      <c r="D33" s="110" t="s">
        <v>255</v>
      </c>
    </row>
    <row r="34" spans="1:16" ht="13.2" hidden="1" customHeight="1" outlineLevel="1" x14ac:dyDescent="0.25">
      <c r="A34" s="79"/>
      <c r="D34" s="227" t="s">
        <v>417</v>
      </c>
    </row>
    <row r="35" spans="1:16" ht="13.2" hidden="1" customHeight="1" outlineLevel="1" x14ac:dyDescent="0.25">
      <c r="A35" s="79"/>
      <c r="D35" s="225" t="s">
        <v>413</v>
      </c>
    </row>
    <row r="36" spans="1:16" ht="13.2" hidden="1" customHeight="1" outlineLevel="1" x14ac:dyDescent="0.25">
      <c r="A36" s="79"/>
      <c r="D36" s="15" t="s">
        <v>268</v>
      </c>
    </row>
    <row r="37" spans="1:16" ht="13.2" hidden="1" customHeight="1" outlineLevel="1" x14ac:dyDescent="0.25">
      <c r="A37" s="79"/>
      <c r="D37" s="116" t="s">
        <v>420</v>
      </c>
    </row>
    <row r="38" spans="1:16" ht="13.2" hidden="1" customHeight="1" outlineLevel="1" x14ac:dyDescent="0.25">
      <c r="A38" s="79"/>
      <c r="D38" s="30" t="s">
        <v>415</v>
      </c>
    </row>
    <row r="39" spans="1:16" ht="13.2" hidden="1" customHeight="1" outlineLevel="1" x14ac:dyDescent="0.25">
      <c r="A39" s="79"/>
      <c r="D39" s="30" t="s">
        <v>414</v>
      </c>
    </row>
    <row r="40" spans="1:16" ht="13.2" hidden="1" customHeight="1" outlineLevel="1" x14ac:dyDescent="0.25">
      <c r="A40" s="79"/>
      <c r="D40" s="15" t="s">
        <v>263</v>
      </c>
    </row>
    <row r="41" spans="1:16" ht="13.2" hidden="1" customHeight="1" outlineLevel="1" x14ac:dyDescent="0.25">
      <c r="A41" s="79"/>
      <c r="D41" s="15" t="s">
        <v>219</v>
      </c>
    </row>
    <row r="42" spans="1:16" ht="13.2" hidden="1" customHeight="1" outlineLevel="1" x14ac:dyDescent="0.25">
      <c r="A42" s="79"/>
      <c r="D42" s="15" t="s">
        <v>120</v>
      </c>
    </row>
    <row r="43" spans="1:16" ht="13.2" hidden="1" customHeight="1" outlineLevel="1" x14ac:dyDescent="0.25">
      <c r="A43" s="79"/>
      <c r="D43" s="15" t="s">
        <v>267</v>
      </c>
    </row>
    <row r="44" spans="1:16" ht="13.2" hidden="1" customHeight="1" outlineLevel="1" x14ac:dyDescent="0.25">
      <c r="A44" s="79"/>
      <c r="D44" s="110" t="s">
        <v>224</v>
      </c>
    </row>
    <row r="45" spans="1:16" ht="13.2" hidden="1" customHeight="1" outlineLevel="1" x14ac:dyDescent="0.25">
      <c r="A45" s="79"/>
      <c r="D45" s="227" t="s">
        <v>408</v>
      </c>
    </row>
    <row r="46" spans="1:16" ht="13.2" customHeight="1" collapsed="1" x14ac:dyDescent="0.25">
      <c r="A46" s="138"/>
      <c r="B46" s="95"/>
      <c r="C46" s="96"/>
      <c r="D46" s="97"/>
      <c r="E46" s="96"/>
      <c r="F46" s="96"/>
      <c r="G46" s="98"/>
      <c r="H46" s="96"/>
      <c r="J46" s="46"/>
      <c r="K46" s="47"/>
      <c r="L46" s="52"/>
      <c r="M46" s="19"/>
      <c r="N46" s="104"/>
      <c r="O46" s="105"/>
      <c r="P46" s="106"/>
    </row>
    <row r="47" spans="1:16" x14ac:dyDescent="0.25">
      <c r="A47" s="79">
        <v>45907</v>
      </c>
      <c r="B47" s="17" t="s">
        <v>326</v>
      </c>
      <c r="C47" s="19" t="s">
        <v>327</v>
      </c>
      <c r="D47" s="30" t="s">
        <v>117</v>
      </c>
      <c r="E47" s="3">
        <v>1143</v>
      </c>
      <c r="F47" s="3">
        <v>8</v>
      </c>
      <c r="G47" s="5">
        <f>E47/F47</f>
        <v>142.875</v>
      </c>
      <c r="H47" s="160" t="s">
        <v>601</v>
      </c>
      <c r="J47" s="46"/>
      <c r="K47" s="51"/>
      <c r="L47" s="52"/>
      <c r="N47" s="48"/>
      <c r="O47" s="105"/>
      <c r="P47" s="106"/>
    </row>
    <row r="48" spans="1:16" x14ac:dyDescent="0.25">
      <c r="B48" s="17" t="s">
        <v>135</v>
      </c>
      <c r="D48" s="81" t="s">
        <v>114</v>
      </c>
      <c r="E48" s="31">
        <v>1363</v>
      </c>
      <c r="F48" s="31">
        <v>8</v>
      </c>
      <c r="G48" s="32">
        <f t="shared" ref="G48:G88" si="0">E48/F48</f>
        <v>170.375</v>
      </c>
      <c r="H48" s="33" t="s">
        <v>602</v>
      </c>
      <c r="J48" s="46"/>
      <c r="K48" s="47"/>
      <c r="L48" s="52"/>
      <c r="N48" s="48"/>
      <c r="O48" s="105"/>
      <c r="P48" s="106"/>
    </row>
    <row r="49" spans="1:16" x14ac:dyDescent="0.25">
      <c r="B49" s="19" t="s">
        <v>682</v>
      </c>
      <c r="D49" s="15" t="s">
        <v>179</v>
      </c>
      <c r="E49" s="3">
        <v>1034</v>
      </c>
      <c r="F49" s="3">
        <v>8</v>
      </c>
      <c r="G49" s="5">
        <f>E49/F49</f>
        <v>129.25</v>
      </c>
      <c r="H49" s="160" t="s">
        <v>601</v>
      </c>
      <c r="J49" s="46"/>
      <c r="K49" s="51"/>
      <c r="L49" s="52"/>
      <c r="N49" s="48"/>
      <c r="O49" s="105"/>
      <c r="P49" s="106"/>
    </row>
    <row r="50" spans="1:16" x14ac:dyDescent="0.25">
      <c r="D50" s="34" t="s">
        <v>121</v>
      </c>
      <c r="E50" s="31">
        <v>1373</v>
      </c>
      <c r="F50" s="31">
        <v>8</v>
      </c>
      <c r="G50" s="32">
        <f>E50/F50</f>
        <v>171.625</v>
      </c>
      <c r="H50" s="33" t="s">
        <v>603</v>
      </c>
      <c r="J50" s="46"/>
      <c r="K50" s="51"/>
      <c r="L50" s="52"/>
      <c r="N50" s="48"/>
      <c r="O50" s="105"/>
      <c r="P50" s="106"/>
    </row>
    <row r="51" spans="1:16" x14ac:dyDescent="0.25">
      <c r="B51" s="3"/>
      <c r="D51" s="15" t="s">
        <v>178</v>
      </c>
      <c r="E51" s="3">
        <v>1154</v>
      </c>
      <c r="F51" s="3">
        <v>8</v>
      </c>
      <c r="G51" s="5">
        <f t="shared" si="0"/>
        <v>144.25</v>
      </c>
      <c r="H51" s="160" t="s">
        <v>601</v>
      </c>
      <c r="J51" s="46"/>
      <c r="K51" s="51"/>
      <c r="L51" s="52"/>
      <c r="N51" s="48"/>
      <c r="O51" s="105"/>
      <c r="P51" s="106"/>
    </row>
    <row r="52" spans="1:16" x14ac:dyDescent="0.25">
      <c r="D52" s="34" t="s">
        <v>262</v>
      </c>
      <c r="E52" s="31">
        <v>1226</v>
      </c>
      <c r="F52" s="31">
        <v>8</v>
      </c>
      <c r="G52" s="32">
        <f t="shared" si="0"/>
        <v>153.25</v>
      </c>
      <c r="H52" s="33" t="s">
        <v>604</v>
      </c>
      <c r="J52" s="46"/>
      <c r="K52" s="51"/>
      <c r="L52" s="52"/>
      <c r="N52" s="48"/>
      <c r="O52" s="105"/>
      <c r="P52" s="106"/>
    </row>
    <row r="53" spans="1:16" x14ac:dyDescent="0.25">
      <c r="D53" s="15" t="s">
        <v>217</v>
      </c>
      <c r="E53" s="3">
        <v>1059</v>
      </c>
      <c r="F53" s="3">
        <v>8</v>
      </c>
      <c r="G53" s="5">
        <f t="shared" si="0"/>
        <v>132.375</v>
      </c>
      <c r="H53" s="160" t="s">
        <v>601</v>
      </c>
      <c r="J53" s="46"/>
      <c r="K53" s="51"/>
      <c r="L53" s="52"/>
      <c r="N53" s="48"/>
      <c r="O53" s="105"/>
      <c r="P53" s="106"/>
    </row>
    <row r="54" spans="1:16" x14ac:dyDescent="0.25">
      <c r="D54" s="81" t="s">
        <v>118</v>
      </c>
      <c r="E54" s="31">
        <v>1248</v>
      </c>
      <c r="F54" s="31">
        <v>8</v>
      </c>
      <c r="G54" s="32">
        <f t="shared" si="0"/>
        <v>156</v>
      </c>
      <c r="H54" s="33" t="s">
        <v>605</v>
      </c>
      <c r="J54" s="46"/>
      <c r="K54" s="51"/>
      <c r="L54" s="52"/>
      <c r="N54" s="48"/>
      <c r="O54" s="105"/>
      <c r="P54" s="106"/>
    </row>
    <row r="55" spans="1:16" x14ac:dyDescent="0.25">
      <c r="D55" s="15" t="s">
        <v>268</v>
      </c>
      <c r="E55" s="3">
        <v>1165</v>
      </c>
      <c r="F55" s="3">
        <v>8</v>
      </c>
      <c r="G55" s="5">
        <f t="shared" si="0"/>
        <v>145.625</v>
      </c>
      <c r="H55" s="160" t="s">
        <v>601</v>
      </c>
      <c r="J55" s="46"/>
      <c r="K55" s="51"/>
      <c r="L55" s="52"/>
      <c r="N55" s="48"/>
      <c r="O55" s="105"/>
      <c r="P55" s="106"/>
    </row>
    <row r="56" spans="1:16" x14ac:dyDescent="0.25">
      <c r="D56" s="15" t="s">
        <v>263</v>
      </c>
      <c r="E56" s="3">
        <v>1122</v>
      </c>
      <c r="F56" s="3">
        <v>8</v>
      </c>
      <c r="G56" s="5">
        <f t="shared" si="0"/>
        <v>140.25</v>
      </c>
      <c r="H56" s="19" t="s">
        <v>606</v>
      </c>
      <c r="I56" s="3">
        <v>10</v>
      </c>
      <c r="J56" s="46"/>
      <c r="K56" s="51"/>
      <c r="L56" s="52"/>
      <c r="N56" s="48"/>
      <c r="O56" s="105"/>
      <c r="P56" s="106"/>
    </row>
    <row r="57" spans="1:16" x14ac:dyDescent="0.25">
      <c r="A57" s="138"/>
      <c r="B57" s="95"/>
      <c r="C57" s="96"/>
      <c r="D57" s="97"/>
      <c r="E57" s="96"/>
      <c r="F57" s="96"/>
      <c r="G57" s="98"/>
      <c r="H57" s="96"/>
      <c r="J57" s="50"/>
      <c r="K57" s="51"/>
      <c r="L57" s="52"/>
      <c r="N57" s="104"/>
      <c r="O57" s="105"/>
      <c r="P57" s="106"/>
    </row>
    <row r="58" spans="1:16" x14ac:dyDescent="0.25">
      <c r="A58" s="79">
        <v>45913</v>
      </c>
      <c r="B58" s="17" t="s">
        <v>176</v>
      </c>
      <c r="C58" s="19" t="s">
        <v>106</v>
      </c>
      <c r="D58" s="30" t="s">
        <v>122</v>
      </c>
      <c r="E58" s="3">
        <v>1480</v>
      </c>
      <c r="F58" s="3">
        <v>8</v>
      </c>
      <c r="G58" s="5">
        <f t="shared" si="0"/>
        <v>185</v>
      </c>
      <c r="H58" s="19" t="s">
        <v>601</v>
      </c>
      <c r="J58" s="50"/>
      <c r="K58" s="47" t="s">
        <v>471</v>
      </c>
      <c r="L58" s="52"/>
      <c r="N58" s="48"/>
      <c r="O58" s="27" t="s">
        <v>471</v>
      </c>
      <c r="P58" s="49"/>
    </row>
    <row r="59" spans="1:16" x14ac:dyDescent="0.25">
      <c r="B59" s="17" t="s">
        <v>177</v>
      </c>
      <c r="C59" s="19"/>
      <c r="D59" s="81" t="s">
        <v>118</v>
      </c>
      <c r="E59" s="31">
        <v>1335</v>
      </c>
      <c r="F59" s="31">
        <v>8</v>
      </c>
      <c r="G59" s="32">
        <f t="shared" si="0"/>
        <v>166.875</v>
      </c>
      <c r="H59" s="33" t="s">
        <v>610</v>
      </c>
      <c r="J59" s="50"/>
      <c r="K59" s="47" t="s">
        <v>471</v>
      </c>
      <c r="L59" s="52"/>
      <c r="N59" s="48"/>
      <c r="O59" s="27" t="s">
        <v>471</v>
      </c>
      <c r="P59" s="49"/>
    </row>
    <row r="60" spans="1:16" x14ac:dyDescent="0.25">
      <c r="B60" s="398" t="s">
        <v>607</v>
      </c>
      <c r="C60" s="19"/>
      <c r="D60" s="15" t="s">
        <v>219</v>
      </c>
      <c r="E60" s="3">
        <v>1388</v>
      </c>
      <c r="F60" s="3">
        <v>8</v>
      </c>
      <c r="G60" s="5">
        <f t="shared" si="0"/>
        <v>173.5</v>
      </c>
      <c r="H60" s="19" t="s">
        <v>601</v>
      </c>
      <c r="J60" s="50"/>
      <c r="K60" s="51" t="s">
        <v>471</v>
      </c>
      <c r="L60" s="52"/>
      <c r="N60" s="48"/>
      <c r="O60" s="27"/>
      <c r="P60" s="49" t="s">
        <v>471</v>
      </c>
    </row>
    <row r="61" spans="1:16" x14ac:dyDescent="0.25">
      <c r="B61" s="17"/>
      <c r="C61" s="19"/>
      <c r="D61" s="81" t="s">
        <v>114</v>
      </c>
      <c r="E61" s="31">
        <v>1349</v>
      </c>
      <c r="F61" s="31">
        <v>8</v>
      </c>
      <c r="G61" s="32">
        <f t="shared" si="0"/>
        <v>168.625</v>
      </c>
      <c r="H61" s="33" t="s">
        <v>611</v>
      </c>
      <c r="J61" s="50"/>
      <c r="K61" s="51" t="s">
        <v>471</v>
      </c>
      <c r="L61" s="52"/>
      <c r="N61" s="48"/>
      <c r="O61" s="27"/>
      <c r="P61" s="49" t="s">
        <v>471</v>
      </c>
    </row>
    <row r="62" spans="1:16" x14ac:dyDescent="0.25">
      <c r="B62" s="17"/>
      <c r="C62" s="19"/>
      <c r="D62" s="29" t="s">
        <v>416</v>
      </c>
      <c r="E62" s="3">
        <v>1322</v>
      </c>
      <c r="F62" s="3">
        <v>8</v>
      </c>
      <c r="G62" s="5">
        <f t="shared" si="0"/>
        <v>165.25</v>
      </c>
      <c r="H62" s="19" t="s">
        <v>601</v>
      </c>
      <c r="J62" s="50"/>
      <c r="K62" s="51"/>
      <c r="L62" s="52"/>
      <c r="N62" s="48"/>
      <c r="O62" s="27"/>
      <c r="P62" s="49"/>
    </row>
    <row r="63" spans="1:16" x14ac:dyDescent="0.25">
      <c r="B63" s="17"/>
      <c r="C63" s="19"/>
      <c r="D63" s="161" t="s">
        <v>223</v>
      </c>
      <c r="E63" s="31">
        <v>1401</v>
      </c>
      <c r="F63" s="31">
        <v>8</v>
      </c>
      <c r="G63" s="32">
        <f t="shared" si="0"/>
        <v>175.125</v>
      </c>
      <c r="H63" s="33" t="s">
        <v>609</v>
      </c>
      <c r="J63" s="50"/>
      <c r="K63" s="51"/>
      <c r="L63" s="52"/>
      <c r="N63" s="48"/>
      <c r="O63" s="27"/>
      <c r="P63" s="49"/>
    </row>
    <row r="64" spans="1:16" s="19" customFormat="1" ht="13.2" customHeight="1" x14ac:dyDescent="0.25">
      <c r="D64" s="30" t="s">
        <v>262</v>
      </c>
      <c r="E64" s="3">
        <v>1388</v>
      </c>
      <c r="F64" s="3">
        <v>8</v>
      </c>
      <c r="G64" s="5">
        <f t="shared" si="0"/>
        <v>173.5</v>
      </c>
      <c r="H64" s="19" t="s">
        <v>601</v>
      </c>
      <c r="J64" s="46"/>
      <c r="K64" s="47"/>
      <c r="L64" s="52"/>
      <c r="N64" s="48"/>
      <c r="O64" s="27"/>
      <c r="P64" s="49"/>
    </row>
    <row r="65" spans="1:16" s="19" customFormat="1" ht="13.2" customHeight="1" x14ac:dyDescent="0.25">
      <c r="D65" s="34" t="s">
        <v>263</v>
      </c>
      <c r="E65" s="31">
        <v>1281</v>
      </c>
      <c r="F65" s="31">
        <v>8</v>
      </c>
      <c r="G65" s="32">
        <f t="shared" si="0"/>
        <v>160.125</v>
      </c>
      <c r="H65" s="33" t="s">
        <v>615</v>
      </c>
      <c r="J65" s="46"/>
      <c r="K65" s="47"/>
      <c r="L65" s="52"/>
      <c r="N65" s="48"/>
      <c r="O65" s="27"/>
      <c r="P65" s="49"/>
    </row>
    <row r="66" spans="1:16" x14ac:dyDescent="0.25">
      <c r="B66" s="17"/>
      <c r="C66" s="19"/>
      <c r="D66" s="15" t="s">
        <v>178</v>
      </c>
      <c r="E66" s="3">
        <v>1385</v>
      </c>
      <c r="F66" s="3">
        <v>8</v>
      </c>
      <c r="G66" s="5">
        <f t="shared" si="0"/>
        <v>173.125</v>
      </c>
      <c r="H66" s="19" t="s">
        <v>601</v>
      </c>
      <c r="J66" s="46" t="s">
        <v>471</v>
      </c>
      <c r="K66" s="51"/>
      <c r="L66" s="52"/>
      <c r="N66" s="48" t="s">
        <v>471</v>
      </c>
      <c r="O66" s="27"/>
      <c r="P66" s="49"/>
    </row>
    <row r="67" spans="1:16" x14ac:dyDescent="0.25">
      <c r="B67" s="3"/>
      <c r="C67" s="19"/>
      <c r="D67" s="81" t="s">
        <v>414</v>
      </c>
      <c r="E67" s="31">
        <v>1322</v>
      </c>
      <c r="F67" s="31">
        <v>8</v>
      </c>
      <c r="G67" s="32">
        <f t="shared" si="0"/>
        <v>165.25</v>
      </c>
      <c r="H67" s="33" t="s">
        <v>608</v>
      </c>
      <c r="J67" s="46" t="s">
        <v>471</v>
      </c>
      <c r="K67" s="51"/>
      <c r="L67" s="52"/>
      <c r="N67" s="48" t="s">
        <v>471</v>
      </c>
      <c r="O67" s="27"/>
      <c r="P67" s="49"/>
    </row>
    <row r="68" spans="1:16" x14ac:dyDescent="0.25">
      <c r="B68" s="17"/>
      <c r="C68" s="19"/>
      <c r="D68" s="30" t="s">
        <v>117</v>
      </c>
      <c r="E68" s="3">
        <v>1254</v>
      </c>
      <c r="F68" s="3">
        <v>8</v>
      </c>
      <c r="G68" s="5">
        <f t="shared" si="0"/>
        <v>156.75</v>
      </c>
      <c r="H68" s="19" t="s">
        <v>601</v>
      </c>
      <c r="J68" s="50"/>
      <c r="K68" s="51"/>
      <c r="L68" s="52"/>
      <c r="N68" s="104"/>
      <c r="O68" s="105"/>
      <c r="P68" s="106"/>
    </row>
    <row r="69" spans="1:16" x14ac:dyDescent="0.25">
      <c r="B69" s="17"/>
      <c r="C69" s="19"/>
      <c r="D69" s="15" t="s">
        <v>217</v>
      </c>
      <c r="E69" s="3">
        <v>1088</v>
      </c>
      <c r="F69" s="3">
        <v>8</v>
      </c>
      <c r="G69" s="5">
        <f t="shared" si="0"/>
        <v>136</v>
      </c>
      <c r="H69" s="19" t="s">
        <v>614</v>
      </c>
      <c r="I69" s="3">
        <v>22</v>
      </c>
      <c r="J69" s="50"/>
      <c r="K69" s="51"/>
      <c r="L69" s="52"/>
      <c r="N69" s="104"/>
      <c r="O69" s="105"/>
      <c r="P69" s="106"/>
    </row>
    <row r="70" spans="1:16" x14ac:dyDescent="0.25">
      <c r="A70" s="138"/>
      <c r="B70" s="95"/>
      <c r="C70" s="96"/>
      <c r="D70" s="97"/>
      <c r="E70" s="96"/>
      <c r="F70" s="96"/>
      <c r="G70" s="98"/>
      <c r="H70" s="96"/>
      <c r="J70" s="50"/>
      <c r="K70" s="51"/>
      <c r="L70" s="52"/>
      <c r="N70" s="104"/>
      <c r="O70" s="105"/>
      <c r="P70" s="106"/>
    </row>
    <row r="71" spans="1:16" s="19" customFormat="1" ht="13.2" customHeight="1" x14ac:dyDescent="0.25">
      <c r="A71" s="79">
        <v>45913</v>
      </c>
      <c r="B71" s="17" t="s">
        <v>412</v>
      </c>
      <c r="C71" s="19" t="s">
        <v>106</v>
      </c>
      <c r="D71" s="110" t="s">
        <v>230</v>
      </c>
      <c r="E71" s="3">
        <v>1250</v>
      </c>
      <c r="F71" s="3">
        <v>8</v>
      </c>
      <c r="G71" s="5">
        <f t="shared" si="0"/>
        <v>156.25</v>
      </c>
      <c r="H71" s="19" t="s">
        <v>601</v>
      </c>
      <c r="J71" s="46"/>
      <c r="K71" s="47"/>
      <c r="L71" s="52"/>
      <c r="N71" s="104"/>
      <c r="O71" s="105"/>
      <c r="P71" s="106"/>
    </row>
    <row r="72" spans="1:16" s="19" customFormat="1" ht="13.2" customHeight="1" x14ac:dyDescent="0.25">
      <c r="B72" s="17" t="s">
        <v>135</v>
      </c>
      <c r="D72" s="34" t="s">
        <v>120</v>
      </c>
      <c r="E72" s="31">
        <v>1632</v>
      </c>
      <c r="F72" s="31">
        <v>8</v>
      </c>
      <c r="G72" s="32">
        <f t="shared" si="0"/>
        <v>204</v>
      </c>
      <c r="H72" s="33" t="s">
        <v>612</v>
      </c>
      <c r="J72" s="46"/>
      <c r="K72" s="47"/>
      <c r="L72" s="52"/>
      <c r="N72" s="104"/>
      <c r="O72" s="105"/>
      <c r="P72" s="106"/>
    </row>
    <row r="73" spans="1:16" s="19" customFormat="1" ht="13.2" customHeight="1" x14ac:dyDescent="0.25">
      <c r="B73" s="19" t="s">
        <v>616</v>
      </c>
      <c r="D73" s="15" t="s">
        <v>328</v>
      </c>
      <c r="E73" s="3">
        <v>1393</v>
      </c>
      <c r="F73" s="3">
        <v>8</v>
      </c>
      <c r="G73" s="5">
        <f t="shared" si="0"/>
        <v>174.125</v>
      </c>
      <c r="H73" s="19" t="s">
        <v>601</v>
      </c>
      <c r="J73" s="46"/>
      <c r="K73" s="47"/>
      <c r="L73" s="52"/>
      <c r="N73" s="104"/>
      <c r="O73" s="105"/>
      <c r="P73" s="106"/>
    </row>
    <row r="74" spans="1:16" s="19" customFormat="1" ht="13.2" customHeight="1" x14ac:dyDescent="0.25">
      <c r="D74" s="29" t="s">
        <v>269</v>
      </c>
      <c r="E74" s="3">
        <v>1326</v>
      </c>
      <c r="F74" s="3">
        <v>8</v>
      </c>
      <c r="G74" s="5">
        <f t="shared" si="0"/>
        <v>165.75</v>
      </c>
      <c r="H74" s="19" t="s">
        <v>613</v>
      </c>
      <c r="I74" s="19">
        <v>26</v>
      </c>
      <c r="J74" s="46"/>
      <c r="K74" s="47"/>
      <c r="L74" s="52"/>
      <c r="N74" s="104"/>
      <c r="O74" s="105"/>
      <c r="P74" s="106"/>
    </row>
    <row r="75" spans="1:16" x14ac:dyDescent="0.25">
      <c r="A75" s="138"/>
      <c r="B75" s="95"/>
      <c r="C75" s="96"/>
      <c r="D75" s="97"/>
      <c r="E75" s="96"/>
      <c r="F75" s="96"/>
      <c r="G75" s="98"/>
      <c r="H75" s="96"/>
      <c r="J75" s="50"/>
      <c r="K75" s="51"/>
      <c r="L75" s="52"/>
      <c r="N75" s="104"/>
      <c r="O75" s="105"/>
      <c r="P75" s="106"/>
    </row>
    <row r="76" spans="1:16" x14ac:dyDescent="0.25">
      <c r="A76" s="79">
        <v>45921</v>
      </c>
      <c r="B76" s="17" t="s">
        <v>256</v>
      </c>
      <c r="C76" s="19" t="s">
        <v>102</v>
      </c>
      <c r="D76" s="110" t="s">
        <v>433</v>
      </c>
      <c r="E76" s="3">
        <v>224</v>
      </c>
      <c r="F76" s="3">
        <v>4</v>
      </c>
      <c r="G76" s="5">
        <f t="shared" si="0"/>
        <v>56</v>
      </c>
      <c r="H76" s="19" t="s">
        <v>623</v>
      </c>
      <c r="J76" s="46"/>
      <c r="K76" s="51"/>
      <c r="L76" s="52">
        <v>1</v>
      </c>
      <c r="N76" s="48"/>
      <c r="O76" s="105">
        <v>1</v>
      </c>
      <c r="P76" s="106"/>
    </row>
    <row r="77" spans="1:16" x14ac:dyDescent="0.25">
      <c r="A77" s="79"/>
      <c r="B77" s="17" t="s">
        <v>135</v>
      </c>
      <c r="C77" s="19"/>
      <c r="D77" s="110" t="s">
        <v>226</v>
      </c>
      <c r="E77" s="3">
        <v>1142</v>
      </c>
      <c r="F77" s="3">
        <v>6</v>
      </c>
      <c r="G77" s="5">
        <f t="shared" si="0"/>
        <v>190.33333333333334</v>
      </c>
      <c r="H77" s="19" t="s">
        <v>624</v>
      </c>
      <c r="J77" s="46"/>
      <c r="K77" s="51"/>
      <c r="L77" s="52">
        <v>1</v>
      </c>
      <c r="N77" s="48"/>
      <c r="O77" s="105">
        <v>1</v>
      </c>
      <c r="P77" s="106"/>
    </row>
    <row r="78" spans="1:16" x14ac:dyDescent="0.25">
      <c r="B78" s="19" t="s">
        <v>629</v>
      </c>
      <c r="C78" s="19"/>
      <c r="D78" s="110" t="s">
        <v>224</v>
      </c>
      <c r="E78" s="3">
        <v>787</v>
      </c>
      <c r="F78" s="3">
        <v>6</v>
      </c>
      <c r="G78" s="5">
        <f t="shared" si="0"/>
        <v>131.16666666666666</v>
      </c>
      <c r="H78" s="19" t="s">
        <v>625</v>
      </c>
      <c r="J78" s="46"/>
      <c r="K78" s="51"/>
      <c r="L78" s="52"/>
      <c r="N78" s="48"/>
      <c r="O78" s="105"/>
      <c r="P78" s="106"/>
    </row>
    <row r="79" spans="1:16" x14ac:dyDescent="0.25">
      <c r="B79" s="19" t="s">
        <v>630</v>
      </c>
      <c r="D79" s="110" t="s">
        <v>230</v>
      </c>
      <c r="E79" s="3">
        <v>1173</v>
      </c>
      <c r="F79" s="3">
        <v>6</v>
      </c>
      <c r="G79" s="5">
        <f t="shared" si="0"/>
        <v>195.5</v>
      </c>
      <c r="H79" s="19" t="s">
        <v>626</v>
      </c>
      <c r="J79" s="46"/>
      <c r="K79" s="51"/>
      <c r="L79" s="52">
        <v>1</v>
      </c>
      <c r="N79" s="104">
        <v>1</v>
      </c>
      <c r="O79" s="105"/>
      <c r="P79" s="106"/>
    </row>
    <row r="80" spans="1:16" x14ac:dyDescent="0.25">
      <c r="B80" s="19" t="s">
        <v>631</v>
      </c>
      <c r="D80" s="110" t="s">
        <v>622</v>
      </c>
      <c r="E80" s="3">
        <v>730</v>
      </c>
      <c r="F80" s="3">
        <v>6</v>
      </c>
      <c r="G80" s="5">
        <f t="shared" si="0"/>
        <v>121.66666666666667</v>
      </c>
      <c r="H80" s="19" t="s">
        <v>627</v>
      </c>
      <c r="J80" s="46"/>
      <c r="K80" s="51"/>
      <c r="L80" s="52"/>
      <c r="N80" s="104"/>
      <c r="O80" s="105"/>
      <c r="P80" s="106"/>
    </row>
    <row r="81" spans="1:16" x14ac:dyDescent="0.25">
      <c r="B81" s="19" t="s">
        <v>370</v>
      </c>
      <c r="D81" s="110" t="s">
        <v>255</v>
      </c>
      <c r="E81" s="3">
        <v>780</v>
      </c>
      <c r="F81" s="3">
        <v>6</v>
      </c>
      <c r="G81" s="5">
        <f t="shared" si="0"/>
        <v>130</v>
      </c>
      <c r="H81" s="19" t="s">
        <v>628</v>
      </c>
      <c r="I81" s="3">
        <v>32</v>
      </c>
      <c r="J81" s="46"/>
      <c r="K81" s="51"/>
      <c r="L81" s="52">
        <v>1</v>
      </c>
      <c r="N81" s="104">
        <v>1</v>
      </c>
      <c r="O81" s="105"/>
      <c r="P81" s="106"/>
    </row>
    <row r="82" spans="1:16" x14ac:dyDescent="0.25">
      <c r="A82" s="138"/>
      <c r="B82" s="95"/>
      <c r="C82" s="96"/>
      <c r="D82" s="97"/>
      <c r="E82" s="96"/>
      <c r="F82" s="96"/>
      <c r="G82" s="98"/>
      <c r="H82" s="96"/>
      <c r="J82" s="50"/>
      <c r="K82" s="51"/>
      <c r="L82" s="52"/>
      <c r="N82" s="104"/>
      <c r="O82" s="105"/>
      <c r="P82" s="106"/>
    </row>
    <row r="83" spans="1:16" x14ac:dyDescent="0.25">
      <c r="A83" s="79">
        <v>45934</v>
      </c>
      <c r="B83" s="17" t="s">
        <v>176</v>
      </c>
      <c r="C83" s="19" t="s">
        <v>106</v>
      </c>
      <c r="D83" s="30" t="s">
        <v>122</v>
      </c>
      <c r="E83" s="3">
        <v>1416</v>
      </c>
      <c r="F83" s="3">
        <v>8</v>
      </c>
      <c r="G83" s="5">
        <f t="shared" si="0"/>
        <v>177</v>
      </c>
      <c r="H83" s="19" t="s">
        <v>421</v>
      </c>
      <c r="J83" s="50"/>
      <c r="K83" s="51"/>
      <c r="L83" s="52"/>
      <c r="N83" s="104"/>
      <c r="O83" s="105"/>
      <c r="P83" s="106"/>
    </row>
    <row r="84" spans="1:16" x14ac:dyDescent="0.25">
      <c r="A84" s="79">
        <v>45935</v>
      </c>
      <c r="B84" s="17" t="s">
        <v>180</v>
      </c>
      <c r="C84" s="19"/>
      <c r="D84" s="81" t="s">
        <v>118</v>
      </c>
      <c r="E84" s="31">
        <v>1336</v>
      </c>
      <c r="F84" s="31">
        <v>8</v>
      </c>
      <c r="G84" s="32">
        <f t="shared" si="0"/>
        <v>167</v>
      </c>
      <c r="H84" s="33"/>
      <c r="J84" s="50"/>
      <c r="K84" s="51"/>
      <c r="L84" s="52"/>
      <c r="N84" s="104"/>
      <c r="O84" s="105"/>
      <c r="P84" s="106"/>
    </row>
    <row r="85" spans="1:16" x14ac:dyDescent="0.25">
      <c r="B85" s="19" t="s">
        <v>635</v>
      </c>
      <c r="C85" s="19"/>
      <c r="D85" s="15" t="s">
        <v>219</v>
      </c>
      <c r="E85" s="3">
        <v>1272</v>
      </c>
      <c r="F85" s="3">
        <v>8</v>
      </c>
      <c r="G85" s="5">
        <f t="shared" si="0"/>
        <v>159</v>
      </c>
      <c r="H85" s="19" t="s">
        <v>640</v>
      </c>
      <c r="J85" s="50"/>
      <c r="K85" s="51"/>
      <c r="L85" s="52"/>
      <c r="N85" s="104"/>
      <c r="O85" s="105"/>
      <c r="P85" s="106"/>
    </row>
    <row r="86" spans="1:16" x14ac:dyDescent="0.25">
      <c r="C86" s="19"/>
      <c r="D86" s="81" t="s">
        <v>114</v>
      </c>
      <c r="E86" s="31">
        <v>1330</v>
      </c>
      <c r="F86" s="31">
        <v>8</v>
      </c>
      <c r="G86" s="32">
        <f t="shared" si="0"/>
        <v>166.25</v>
      </c>
      <c r="H86" s="33"/>
      <c r="J86" s="50"/>
      <c r="K86" s="51"/>
      <c r="L86" s="52"/>
      <c r="N86" s="104"/>
      <c r="O86" s="105"/>
      <c r="P86" s="106"/>
    </row>
    <row r="87" spans="1:16" x14ac:dyDescent="0.25">
      <c r="B87" s="19"/>
      <c r="C87" s="19"/>
      <c r="D87" s="30" t="s">
        <v>262</v>
      </c>
      <c r="E87" s="3">
        <v>1388</v>
      </c>
      <c r="F87" s="3">
        <v>8</v>
      </c>
      <c r="G87" s="5">
        <f t="shared" si="0"/>
        <v>173.5</v>
      </c>
      <c r="H87" s="19" t="s">
        <v>641</v>
      </c>
      <c r="J87" s="50"/>
      <c r="K87" s="51"/>
      <c r="L87" s="52"/>
      <c r="N87" s="104"/>
      <c r="O87" s="105"/>
      <c r="P87" s="106"/>
    </row>
    <row r="88" spans="1:16" x14ac:dyDescent="0.25">
      <c r="B88" s="19"/>
      <c r="C88" s="19"/>
      <c r="D88" s="34" t="s">
        <v>263</v>
      </c>
      <c r="E88" s="31">
        <v>992</v>
      </c>
      <c r="F88" s="31">
        <v>8</v>
      </c>
      <c r="G88" s="32">
        <f t="shared" si="0"/>
        <v>124</v>
      </c>
      <c r="H88" s="33"/>
      <c r="J88" s="50"/>
      <c r="K88" s="51"/>
      <c r="L88" s="52"/>
      <c r="N88" s="104"/>
      <c r="O88" s="105"/>
      <c r="P88" s="106"/>
    </row>
    <row r="89" spans="1:16" s="19" customFormat="1" ht="13.2" customHeight="1" x14ac:dyDescent="0.25">
      <c r="B89" s="19" t="s">
        <v>357</v>
      </c>
      <c r="D89" s="15" t="s">
        <v>178</v>
      </c>
      <c r="E89" s="3">
        <v>1152</v>
      </c>
      <c r="F89" s="3">
        <v>8</v>
      </c>
      <c r="G89" s="5">
        <f t="shared" ref="G89:G92" si="1">E89/F89</f>
        <v>144</v>
      </c>
      <c r="H89" s="19" t="s">
        <v>421</v>
      </c>
      <c r="J89" s="46"/>
      <c r="K89" s="47"/>
      <c r="L89" s="52"/>
      <c r="N89" s="104"/>
      <c r="O89" s="105"/>
      <c r="P89" s="106"/>
    </row>
    <row r="90" spans="1:16" s="19" customFormat="1" ht="13.2" customHeight="1" x14ac:dyDescent="0.25">
      <c r="D90" s="81" t="s">
        <v>414</v>
      </c>
      <c r="E90" s="31">
        <v>1231</v>
      </c>
      <c r="F90" s="31">
        <v>8</v>
      </c>
      <c r="G90" s="32">
        <f t="shared" si="1"/>
        <v>153.875</v>
      </c>
      <c r="H90" s="33"/>
      <c r="J90" s="46"/>
      <c r="K90" s="47"/>
      <c r="L90" s="52"/>
      <c r="N90" s="104"/>
      <c r="O90" s="105"/>
      <c r="P90" s="106"/>
    </row>
    <row r="91" spans="1:16" x14ac:dyDescent="0.25">
      <c r="D91" s="30" t="s">
        <v>117</v>
      </c>
      <c r="E91" s="3">
        <v>1201</v>
      </c>
      <c r="F91" s="3">
        <v>8</v>
      </c>
      <c r="G91" s="5">
        <f t="shared" si="1"/>
        <v>150.125</v>
      </c>
      <c r="H91" s="19" t="s">
        <v>638</v>
      </c>
      <c r="J91" s="46"/>
      <c r="K91" s="51"/>
      <c r="L91" s="52"/>
      <c r="N91" s="48"/>
      <c r="O91" s="105"/>
      <c r="P91" s="106"/>
    </row>
    <row r="92" spans="1:16" x14ac:dyDescent="0.25">
      <c r="D92" s="15" t="s">
        <v>217</v>
      </c>
      <c r="E92" s="3">
        <v>1019</v>
      </c>
      <c r="F92" s="3">
        <v>8</v>
      </c>
      <c r="G92" s="5">
        <f t="shared" si="1"/>
        <v>127.375</v>
      </c>
      <c r="H92" s="19"/>
      <c r="I92" s="3">
        <v>42</v>
      </c>
      <c r="J92" s="46"/>
      <c r="K92" s="51"/>
      <c r="L92" s="52"/>
      <c r="N92" s="48"/>
      <c r="O92" s="105"/>
      <c r="P92" s="106"/>
    </row>
    <row r="93" spans="1:16" x14ac:dyDescent="0.25">
      <c r="A93" s="138"/>
      <c r="B93" s="95"/>
      <c r="C93" s="96"/>
      <c r="D93" s="97"/>
      <c r="E93" s="96"/>
      <c r="F93" s="96"/>
      <c r="G93" s="98"/>
      <c r="H93" s="96"/>
      <c r="J93" s="50"/>
      <c r="K93" s="51"/>
      <c r="L93" s="52"/>
      <c r="N93" s="104"/>
      <c r="O93" s="105"/>
      <c r="P93" s="106"/>
    </row>
    <row r="94" spans="1:16" x14ac:dyDescent="0.25">
      <c r="A94" s="79">
        <v>45934</v>
      </c>
      <c r="B94" s="17" t="s">
        <v>352</v>
      </c>
      <c r="D94" s="110" t="s">
        <v>230</v>
      </c>
      <c r="E94" s="3">
        <v>1628</v>
      </c>
      <c r="F94" s="3">
        <v>8</v>
      </c>
      <c r="G94" s="5">
        <f t="shared" ref="G94:G116" si="2">E94/F94</f>
        <v>203.5</v>
      </c>
      <c r="H94" s="19" t="s">
        <v>639</v>
      </c>
      <c r="J94" s="46"/>
      <c r="K94" s="47" t="s">
        <v>471</v>
      </c>
      <c r="L94" s="52"/>
      <c r="N94" s="48" t="s">
        <v>471</v>
      </c>
      <c r="O94" s="105"/>
      <c r="P94" s="106"/>
    </row>
    <row r="95" spans="1:16" x14ac:dyDescent="0.25">
      <c r="A95" s="79">
        <v>45935</v>
      </c>
      <c r="B95" s="17" t="s">
        <v>180</v>
      </c>
      <c r="D95" s="15" t="s">
        <v>120</v>
      </c>
      <c r="E95" s="3">
        <v>1508</v>
      </c>
      <c r="F95" s="3">
        <v>8</v>
      </c>
      <c r="G95" s="5">
        <f t="shared" si="2"/>
        <v>188.5</v>
      </c>
      <c r="H95" s="19"/>
      <c r="I95" s="3">
        <v>44</v>
      </c>
      <c r="J95" s="46"/>
      <c r="K95" s="47" t="s">
        <v>471</v>
      </c>
      <c r="L95" s="52"/>
      <c r="N95" s="48" t="s">
        <v>471</v>
      </c>
      <c r="O95" s="105"/>
      <c r="P95" s="106"/>
    </row>
    <row r="96" spans="1:16" x14ac:dyDescent="0.25">
      <c r="A96" s="138"/>
      <c r="B96" s="95"/>
      <c r="C96" s="96"/>
      <c r="D96" s="97"/>
      <c r="E96" s="96"/>
      <c r="F96" s="96"/>
      <c r="G96" s="98"/>
      <c r="H96" s="96"/>
      <c r="J96" s="50"/>
      <c r="K96" s="51"/>
      <c r="L96" s="52"/>
      <c r="N96" s="104"/>
      <c r="O96" s="105"/>
      <c r="P96" s="106"/>
    </row>
    <row r="97" spans="1:16" x14ac:dyDescent="0.25">
      <c r="A97" s="79">
        <v>45941</v>
      </c>
      <c r="B97" s="17" t="s">
        <v>273</v>
      </c>
      <c r="C97" s="3" t="s">
        <v>102</v>
      </c>
      <c r="D97" s="15" t="s">
        <v>328</v>
      </c>
      <c r="E97" s="3">
        <v>1637</v>
      </c>
      <c r="F97" s="3">
        <v>8</v>
      </c>
      <c r="G97" s="5">
        <f t="shared" si="2"/>
        <v>204.625</v>
      </c>
      <c r="H97" s="17" t="s">
        <v>647</v>
      </c>
      <c r="J97" s="46"/>
      <c r="K97" s="47" t="s">
        <v>471</v>
      </c>
      <c r="L97" s="52"/>
      <c r="M97" s="19"/>
      <c r="N97" s="104" t="s">
        <v>471</v>
      </c>
      <c r="O97" s="105"/>
      <c r="P97" s="106"/>
    </row>
    <row r="98" spans="1:16" x14ac:dyDescent="0.25">
      <c r="A98" s="79"/>
      <c r="B98" s="17" t="s">
        <v>642</v>
      </c>
      <c r="D98" s="30" t="s">
        <v>114</v>
      </c>
      <c r="E98" s="3">
        <v>1462</v>
      </c>
      <c r="F98" s="3">
        <v>8</v>
      </c>
      <c r="G98" s="5">
        <f t="shared" si="2"/>
        <v>182.75</v>
      </c>
      <c r="H98" s="19" t="s">
        <v>646</v>
      </c>
      <c r="J98" s="46"/>
      <c r="K98" s="47"/>
      <c r="L98" s="52"/>
      <c r="M98" s="19"/>
      <c r="N98" s="104"/>
      <c r="O98" s="105"/>
      <c r="P98" s="106"/>
    </row>
    <row r="99" spans="1:16" x14ac:dyDescent="0.25">
      <c r="A99" s="79"/>
      <c r="B99" s="17"/>
      <c r="D99" s="30" t="s">
        <v>118</v>
      </c>
      <c r="E99" s="3">
        <v>1433</v>
      </c>
      <c r="F99" s="3">
        <v>8</v>
      </c>
      <c r="G99" s="5">
        <f t="shared" si="2"/>
        <v>179.125</v>
      </c>
      <c r="H99" s="19" t="s">
        <v>648</v>
      </c>
      <c r="J99" s="46"/>
      <c r="K99" s="47"/>
      <c r="L99" s="52"/>
      <c r="M99" s="19"/>
      <c r="N99" s="104"/>
      <c r="O99" s="105"/>
      <c r="P99" s="106"/>
    </row>
    <row r="100" spans="1:16" x14ac:dyDescent="0.25">
      <c r="A100" s="79"/>
      <c r="D100" s="29" t="s">
        <v>269</v>
      </c>
      <c r="E100" s="3">
        <v>1278</v>
      </c>
      <c r="F100" s="3">
        <v>8</v>
      </c>
      <c r="G100" s="5">
        <f t="shared" si="2"/>
        <v>159.75</v>
      </c>
      <c r="H100" s="3" t="s">
        <v>649</v>
      </c>
      <c r="J100" s="46"/>
      <c r="K100" s="47"/>
      <c r="L100" s="52"/>
      <c r="M100" s="19"/>
      <c r="N100" s="104"/>
      <c r="O100" s="105"/>
      <c r="P100" s="106"/>
    </row>
    <row r="101" spans="1:16" x14ac:dyDescent="0.25">
      <c r="A101" s="79"/>
      <c r="B101" s="17"/>
      <c r="D101" s="15" t="s">
        <v>263</v>
      </c>
      <c r="E101" s="3">
        <v>1181</v>
      </c>
      <c r="F101" s="3">
        <v>8</v>
      </c>
      <c r="G101" s="5">
        <f>E101/F101</f>
        <v>147.625</v>
      </c>
      <c r="H101" s="19" t="s">
        <v>653</v>
      </c>
      <c r="J101" s="46"/>
      <c r="K101" s="47"/>
      <c r="L101" s="52"/>
      <c r="M101" s="19"/>
      <c r="N101" s="104"/>
      <c r="O101" s="105"/>
      <c r="P101" s="106"/>
    </row>
    <row r="102" spans="1:16" x14ac:dyDescent="0.25">
      <c r="A102" s="79"/>
      <c r="B102" s="3"/>
      <c r="D102" s="34" t="s">
        <v>125</v>
      </c>
      <c r="E102" s="31">
        <v>1175</v>
      </c>
      <c r="F102" s="31">
        <v>8</v>
      </c>
      <c r="G102" s="32">
        <f t="shared" si="2"/>
        <v>146.875</v>
      </c>
      <c r="H102" s="31" t="s">
        <v>652</v>
      </c>
      <c r="J102" s="46"/>
      <c r="K102" s="47"/>
      <c r="L102" s="52"/>
      <c r="M102" s="19"/>
      <c r="N102" s="104"/>
      <c r="O102" s="105"/>
      <c r="P102" s="106"/>
    </row>
    <row r="103" spans="1:16" x14ac:dyDescent="0.25">
      <c r="A103" s="79"/>
      <c r="B103" s="17"/>
      <c r="D103" s="15" t="s">
        <v>178</v>
      </c>
      <c r="E103" s="3">
        <v>1299</v>
      </c>
      <c r="F103" s="3">
        <v>8</v>
      </c>
      <c r="G103" s="5">
        <f t="shared" si="2"/>
        <v>162.375</v>
      </c>
      <c r="H103" s="17" t="s">
        <v>654</v>
      </c>
      <c r="J103" s="46" t="s">
        <v>471</v>
      </c>
      <c r="K103" s="47"/>
      <c r="L103" s="52"/>
      <c r="M103" s="19"/>
      <c r="N103" s="48"/>
      <c r="O103" s="27" t="s">
        <v>471</v>
      </c>
      <c r="P103" s="49"/>
    </row>
    <row r="104" spans="1:16" x14ac:dyDescent="0.25">
      <c r="A104" s="79"/>
      <c r="B104" s="17"/>
      <c r="D104" s="30" t="s">
        <v>414</v>
      </c>
      <c r="E104" s="3">
        <v>1269</v>
      </c>
      <c r="F104" s="3">
        <v>8</v>
      </c>
      <c r="G104" s="5">
        <f t="shared" si="2"/>
        <v>158.625</v>
      </c>
      <c r="H104" s="17" t="s">
        <v>651</v>
      </c>
      <c r="J104" s="46" t="s">
        <v>471</v>
      </c>
      <c r="K104" s="47"/>
      <c r="L104" s="52"/>
      <c r="M104" s="19"/>
      <c r="N104" s="48"/>
      <c r="O104" s="27"/>
      <c r="P104" s="49" t="s">
        <v>471</v>
      </c>
    </row>
    <row r="105" spans="1:16" x14ac:dyDescent="0.25">
      <c r="A105" s="156"/>
      <c r="B105" s="95"/>
      <c r="C105" s="96"/>
      <c r="D105" s="97"/>
      <c r="E105" s="96"/>
      <c r="F105" s="96"/>
      <c r="G105" s="98"/>
      <c r="H105" s="96"/>
      <c r="J105" s="50"/>
      <c r="K105" s="51"/>
      <c r="L105" s="52"/>
      <c r="N105" s="48"/>
      <c r="O105" s="27"/>
      <c r="P105" s="49"/>
    </row>
    <row r="106" spans="1:16" x14ac:dyDescent="0.25">
      <c r="A106" s="79">
        <v>45941</v>
      </c>
      <c r="B106" s="17" t="s">
        <v>274</v>
      </c>
      <c r="C106" s="3" t="s">
        <v>102</v>
      </c>
      <c r="D106" s="29" t="s">
        <v>223</v>
      </c>
      <c r="E106" s="3">
        <v>1380</v>
      </c>
      <c r="F106" s="3">
        <v>8</v>
      </c>
      <c r="G106" s="5">
        <f t="shared" si="2"/>
        <v>172.5</v>
      </c>
      <c r="H106" s="17" t="s">
        <v>654</v>
      </c>
      <c r="J106" s="46"/>
      <c r="K106" s="47" t="s">
        <v>471</v>
      </c>
      <c r="L106" s="52"/>
      <c r="M106" s="19"/>
      <c r="N106" s="48"/>
      <c r="O106" s="27" t="s">
        <v>471</v>
      </c>
      <c r="P106" s="49"/>
    </row>
    <row r="107" spans="1:16" x14ac:dyDescent="0.25">
      <c r="A107" s="79"/>
      <c r="B107" s="17" t="s">
        <v>643</v>
      </c>
      <c r="D107" s="15" t="s">
        <v>219</v>
      </c>
      <c r="E107" s="3">
        <v>1314</v>
      </c>
      <c r="F107" s="3">
        <v>8</v>
      </c>
      <c r="G107" s="5">
        <f>E107/F107</f>
        <v>164.25</v>
      </c>
      <c r="H107" s="17" t="s">
        <v>651</v>
      </c>
      <c r="J107" s="46"/>
      <c r="K107" s="47" t="s">
        <v>471</v>
      </c>
      <c r="L107" s="52"/>
      <c r="M107" s="19"/>
      <c r="N107" s="48"/>
      <c r="O107" s="27"/>
      <c r="P107" s="49" t="s">
        <v>471</v>
      </c>
    </row>
    <row r="108" spans="1:16" x14ac:dyDescent="0.25">
      <c r="A108" s="79"/>
      <c r="B108" s="3"/>
      <c r="D108" s="15" t="s">
        <v>126</v>
      </c>
      <c r="E108" s="3">
        <v>1254</v>
      </c>
      <c r="F108" s="3">
        <v>8</v>
      </c>
      <c r="G108" s="5">
        <f t="shared" si="2"/>
        <v>156.75</v>
      </c>
      <c r="H108" s="19" t="s">
        <v>650</v>
      </c>
      <c r="J108" s="46"/>
      <c r="K108" s="47"/>
      <c r="L108" s="52"/>
      <c r="M108" s="19"/>
      <c r="N108" s="48"/>
      <c r="O108" s="27"/>
      <c r="P108" s="49"/>
    </row>
    <row r="109" spans="1:16" x14ac:dyDescent="0.25">
      <c r="A109" s="79"/>
      <c r="B109" s="3"/>
      <c r="D109" s="161" t="s">
        <v>124</v>
      </c>
      <c r="E109" s="31">
        <v>1209</v>
      </c>
      <c r="F109" s="31">
        <v>8</v>
      </c>
      <c r="G109" s="32">
        <f t="shared" si="2"/>
        <v>151.125</v>
      </c>
      <c r="H109" s="33" t="s">
        <v>649</v>
      </c>
      <c r="J109" s="46"/>
      <c r="K109" s="47"/>
      <c r="L109" s="52"/>
      <c r="M109" s="19"/>
      <c r="N109" s="48"/>
      <c r="O109" s="27"/>
      <c r="P109" s="49"/>
    </row>
    <row r="110" spans="1:16" x14ac:dyDescent="0.25">
      <c r="A110" s="79"/>
      <c r="B110" s="17"/>
      <c r="D110" s="30" t="s">
        <v>117</v>
      </c>
      <c r="E110" s="3">
        <v>1385</v>
      </c>
      <c r="F110" s="3">
        <v>8</v>
      </c>
      <c r="G110" s="5">
        <f t="shared" si="2"/>
        <v>173.125</v>
      </c>
      <c r="H110" s="17" t="s">
        <v>655</v>
      </c>
      <c r="J110" s="46" t="s">
        <v>471</v>
      </c>
      <c r="K110" s="47"/>
      <c r="L110" s="52"/>
      <c r="M110" s="19"/>
      <c r="N110" s="48" t="s">
        <v>471</v>
      </c>
      <c r="O110" s="27"/>
      <c r="P110" s="49"/>
    </row>
    <row r="111" spans="1:16" x14ac:dyDescent="0.25">
      <c r="A111" s="79"/>
      <c r="B111" s="17"/>
      <c r="D111" s="29" t="s">
        <v>129</v>
      </c>
      <c r="E111" s="3">
        <v>1147</v>
      </c>
      <c r="F111" s="3">
        <v>8</v>
      </c>
      <c r="G111" s="5">
        <f t="shared" si="2"/>
        <v>143.375</v>
      </c>
      <c r="H111" s="19" t="s">
        <v>656</v>
      </c>
      <c r="J111" s="46"/>
      <c r="K111" s="47"/>
      <c r="L111" s="52"/>
      <c r="M111" s="19"/>
      <c r="N111" s="48"/>
      <c r="O111" s="27"/>
      <c r="P111" s="49"/>
    </row>
    <row r="112" spans="1:16" x14ac:dyDescent="0.25">
      <c r="A112" s="156"/>
      <c r="B112" s="95"/>
      <c r="C112" s="96"/>
      <c r="D112" s="97"/>
      <c r="E112" s="96"/>
      <c r="F112" s="96"/>
      <c r="G112" s="98"/>
      <c r="H112" s="96"/>
      <c r="J112" s="50"/>
      <c r="K112" s="51"/>
      <c r="L112" s="52"/>
      <c r="N112" s="104"/>
      <c r="O112" s="105"/>
      <c r="P112" s="106"/>
    </row>
    <row r="113" spans="1:16" x14ac:dyDescent="0.25">
      <c r="A113" s="79">
        <v>45941</v>
      </c>
      <c r="B113" s="17" t="s">
        <v>275</v>
      </c>
      <c r="C113" s="3" t="s">
        <v>102</v>
      </c>
      <c r="D113" s="15" t="s">
        <v>120</v>
      </c>
      <c r="E113" s="3">
        <v>1589</v>
      </c>
      <c r="F113" s="3">
        <v>8</v>
      </c>
      <c r="G113" s="5">
        <f t="shared" si="2"/>
        <v>198.625</v>
      </c>
      <c r="H113" s="17" t="s">
        <v>647</v>
      </c>
      <c r="J113" s="46"/>
      <c r="K113" s="47" t="s">
        <v>471</v>
      </c>
      <c r="L113" s="52"/>
      <c r="M113" s="19"/>
      <c r="N113" s="48" t="s">
        <v>471</v>
      </c>
      <c r="O113" s="27"/>
      <c r="P113" s="49"/>
    </row>
    <row r="114" spans="1:16" x14ac:dyDescent="0.25">
      <c r="A114" s="79"/>
      <c r="B114" s="17" t="s">
        <v>644</v>
      </c>
      <c r="D114" s="15" t="s">
        <v>121</v>
      </c>
      <c r="E114" s="3">
        <v>1410</v>
      </c>
      <c r="F114" s="3">
        <v>8</v>
      </c>
      <c r="G114" s="5">
        <f t="shared" si="2"/>
        <v>176.25</v>
      </c>
      <c r="H114" s="19" t="s">
        <v>646</v>
      </c>
      <c r="J114" s="46"/>
      <c r="K114" s="47"/>
      <c r="L114" s="52"/>
      <c r="M114" s="19"/>
      <c r="N114" s="48"/>
      <c r="O114" s="27"/>
      <c r="P114" s="49"/>
    </row>
    <row r="115" spans="1:16" x14ac:dyDescent="0.25">
      <c r="A115" s="79"/>
      <c r="B115" s="17"/>
      <c r="D115" s="81" t="s">
        <v>262</v>
      </c>
      <c r="E115" s="31">
        <v>1231</v>
      </c>
      <c r="F115" s="31">
        <v>8</v>
      </c>
      <c r="G115" s="32">
        <f t="shared" si="2"/>
        <v>153.875</v>
      </c>
      <c r="H115" s="33" t="s">
        <v>657</v>
      </c>
      <c r="J115" s="46"/>
      <c r="K115" s="47"/>
      <c r="L115" s="52"/>
      <c r="M115" s="19"/>
      <c r="N115" s="48"/>
      <c r="O115" s="27"/>
      <c r="P115" s="49"/>
    </row>
    <row r="116" spans="1:16" x14ac:dyDescent="0.25">
      <c r="A116" s="79"/>
      <c r="B116" s="17"/>
      <c r="D116" s="15" t="s">
        <v>268</v>
      </c>
      <c r="E116" s="3">
        <v>1111</v>
      </c>
      <c r="F116" s="3">
        <v>8</v>
      </c>
      <c r="G116" s="5">
        <f t="shared" si="2"/>
        <v>138.875</v>
      </c>
      <c r="H116" s="17" t="s">
        <v>658</v>
      </c>
      <c r="I116" s="3">
        <v>62</v>
      </c>
      <c r="J116" s="46" t="s">
        <v>471</v>
      </c>
      <c r="K116" s="47"/>
      <c r="L116" s="52"/>
      <c r="M116" s="19"/>
      <c r="N116" s="48"/>
      <c r="O116" s="27"/>
      <c r="P116" s="49" t="s">
        <v>471</v>
      </c>
    </row>
    <row r="117" spans="1:16" x14ac:dyDescent="0.25">
      <c r="A117" s="138"/>
      <c r="B117" s="95"/>
      <c r="C117" s="96"/>
      <c r="D117" s="97"/>
      <c r="E117" s="96"/>
      <c r="F117" s="96"/>
      <c r="G117" s="98"/>
      <c r="H117" s="96"/>
      <c r="J117" s="50"/>
      <c r="K117" s="51"/>
      <c r="L117" s="52"/>
      <c r="N117" s="104"/>
      <c r="O117" s="105"/>
      <c r="P117" s="106"/>
    </row>
    <row r="118" spans="1:16" x14ac:dyDescent="0.25">
      <c r="A118" s="79" t="s">
        <v>617</v>
      </c>
      <c r="B118" s="17" t="s">
        <v>664</v>
      </c>
      <c r="C118" s="3" t="s">
        <v>108</v>
      </c>
      <c r="D118" s="30" t="s">
        <v>122</v>
      </c>
      <c r="E118" s="3">
        <v>1823</v>
      </c>
      <c r="F118" s="3">
        <v>9</v>
      </c>
      <c r="G118" s="5">
        <f t="shared" ref="G118:G123" si="3">E118/F118</f>
        <v>202.55555555555554</v>
      </c>
      <c r="J118" s="50"/>
      <c r="K118" s="51"/>
      <c r="L118" s="52"/>
      <c r="N118" s="104"/>
      <c r="O118" s="105"/>
      <c r="P118" s="106"/>
    </row>
    <row r="119" spans="1:16" ht="13.2" customHeight="1" x14ac:dyDescent="0.25">
      <c r="A119" s="79" t="s">
        <v>348</v>
      </c>
      <c r="B119" s="17" t="s">
        <v>107</v>
      </c>
      <c r="D119" s="15" t="s">
        <v>120</v>
      </c>
      <c r="E119" s="3">
        <v>1628</v>
      </c>
      <c r="F119" s="3">
        <v>9</v>
      </c>
      <c r="G119" s="5">
        <f t="shared" si="3"/>
        <v>180.88888888888889</v>
      </c>
      <c r="H119" s="160"/>
      <c r="J119" s="50"/>
      <c r="K119" s="51"/>
      <c r="L119" s="52"/>
      <c r="N119" s="104"/>
      <c r="O119" s="105"/>
      <c r="P119" s="106"/>
    </row>
    <row r="120" spans="1:16" ht="13.2" customHeight="1" x14ac:dyDescent="0.25">
      <c r="B120" s="19" t="s">
        <v>315</v>
      </c>
      <c r="D120" s="15" t="s">
        <v>328</v>
      </c>
      <c r="E120" s="3">
        <v>1405</v>
      </c>
      <c r="F120" s="3">
        <v>8</v>
      </c>
      <c r="G120" s="5">
        <f t="shared" si="3"/>
        <v>175.625</v>
      </c>
      <c r="H120" s="19" t="s">
        <v>640</v>
      </c>
      <c r="J120" s="50"/>
      <c r="K120" s="51"/>
      <c r="L120" s="52"/>
      <c r="N120" s="104"/>
      <c r="O120" s="105"/>
      <c r="P120" s="106"/>
    </row>
    <row r="121" spans="1:16" x14ac:dyDescent="0.25">
      <c r="B121" s="17"/>
      <c r="D121" s="15" t="s">
        <v>219</v>
      </c>
      <c r="E121" s="3">
        <v>1203</v>
      </c>
      <c r="F121" s="3">
        <v>8</v>
      </c>
      <c r="G121" s="5">
        <f>E121/F121</f>
        <v>150.375</v>
      </c>
      <c r="J121" s="50"/>
      <c r="K121" s="51"/>
      <c r="L121" s="52"/>
      <c r="N121" s="104"/>
      <c r="O121" s="105"/>
      <c r="P121" s="106"/>
    </row>
    <row r="122" spans="1:16" x14ac:dyDescent="0.25">
      <c r="B122" s="17"/>
      <c r="D122" s="30" t="s">
        <v>114</v>
      </c>
      <c r="E122" s="3">
        <v>1037</v>
      </c>
      <c r="F122" s="3">
        <v>7</v>
      </c>
      <c r="G122" s="5">
        <f>E122/F122</f>
        <v>148.14285714285714</v>
      </c>
      <c r="J122" s="50"/>
      <c r="K122" s="51"/>
      <c r="L122" s="52"/>
      <c r="N122" s="104"/>
      <c r="O122" s="105"/>
      <c r="P122" s="106"/>
    </row>
    <row r="123" spans="1:16" x14ac:dyDescent="0.25">
      <c r="A123" s="3"/>
      <c r="B123" s="3"/>
      <c r="D123" s="29" t="s">
        <v>416</v>
      </c>
      <c r="E123" s="3">
        <v>723</v>
      </c>
      <c r="F123" s="3">
        <v>4</v>
      </c>
      <c r="G123" s="5">
        <f t="shared" si="3"/>
        <v>180.75</v>
      </c>
      <c r="I123" s="3">
        <v>68</v>
      </c>
      <c r="J123" s="50"/>
      <c r="K123" s="51"/>
      <c r="L123" s="52"/>
      <c r="N123" s="104"/>
      <c r="O123" s="105"/>
      <c r="P123" s="106"/>
    </row>
    <row r="124" spans="1:16" x14ac:dyDescent="0.25">
      <c r="A124" s="138"/>
      <c r="B124" s="99"/>
      <c r="C124" s="96"/>
      <c r="D124" s="97"/>
      <c r="E124" s="96"/>
      <c r="F124" s="96"/>
      <c r="G124" s="98"/>
      <c r="H124" s="96"/>
      <c r="J124" s="50"/>
      <c r="K124" s="51"/>
      <c r="L124" s="52"/>
      <c r="N124" s="104"/>
      <c r="O124" s="105"/>
      <c r="P124" s="106"/>
    </row>
    <row r="125" spans="1:16" x14ac:dyDescent="0.25">
      <c r="A125" s="79">
        <v>45976</v>
      </c>
      <c r="B125" s="17" t="s">
        <v>333</v>
      </c>
      <c r="C125" s="19" t="s">
        <v>108</v>
      </c>
      <c r="D125" s="110" t="s">
        <v>230</v>
      </c>
      <c r="E125" s="3">
        <v>946</v>
      </c>
      <c r="F125" s="3">
        <v>5</v>
      </c>
      <c r="G125" s="5">
        <f t="shared" ref="G125:G128" si="4">E125/F125</f>
        <v>189.2</v>
      </c>
      <c r="H125" s="160"/>
      <c r="J125" s="50"/>
      <c r="K125" s="51"/>
      <c r="L125" s="52"/>
      <c r="N125" s="104"/>
      <c r="O125" s="105"/>
      <c r="P125" s="106"/>
    </row>
    <row r="126" spans="1:16" ht="13.2" customHeight="1" x14ac:dyDescent="0.25">
      <c r="A126" s="79" t="s">
        <v>228</v>
      </c>
      <c r="B126" s="17" t="s">
        <v>107</v>
      </c>
      <c r="D126" s="29" t="s">
        <v>130</v>
      </c>
      <c r="E126" s="3">
        <v>930</v>
      </c>
      <c r="F126" s="3">
        <v>5</v>
      </c>
      <c r="G126" s="5">
        <f>E126/F126</f>
        <v>186</v>
      </c>
      <c r="H126" s="19"/>
      <c r="J126" s="50"/>
      <c r="K126" s="51"/>
      <c r="L126" s="52"/>
      <c r="N126" s="104"/>
      <c r="O126" s="105"/>
      <c r="P126" s="106"/>
    </row>
    <row r="127" spans="1:16" ht="12.75" customHeight="1" x14ac:dyDescent="0.25">
      <c r="B127" s="19" t="s">
        <v>281</v>
      </c>
      <c r="D127" s="29" t="s">
        <v>223</v>
      </c>
      <c r="E127" s="3">
        <v>861</v>
      </c>
      <c r="F127" s="3">
        <v>5</v>
      </c>
      <c r="G127" s="5">
        <f t="shared" si="4"/>
        <v>172.2</v>
      </c>
      <c r="H127" s="19" t="s">
        <v>660</v>
      </c>
      <c r="J127" s="50"/>
      <c r="K127" s="51"/>
      <c r="L127" s="52"/>
      <c r="N127" s="104"/>
      <c r="O127" s="105"/>
      <c r="P127" s="106"/>
    </row>
    <row r="128" spans="1:16" ht="12.75" customHeight="1" x14ac:dyDescent="0.25">
      <c r="B128" s="128"/>
      <c r="D128" s="30" t="s">
        <v>262</v>
      </c>
      <c r="E128" s="3">
        <v>584</v>
      </c>
      <c r="F128" s="3">
        <v>4</v>
      </c>
      <c r="G128" s="5">
        <f t="shared" si="4"/>
        <v>146</v>
      </c>
      <c r="H128" s="19"/>
      <c r="J128" s="50"/>
      <c r="K128" s="51"/>
      <c r="L128" s="52"/>
      <c r="N128" s="104"/>
      <c r="O128" s="105"/>
      <c r="P128" s="106"/>
    </row>
    <row r="129" spans="1:16" ht="12.75" customHeight="1" x14ac:dyDescent="0.25">
      <c r="B129" s="128"/>
      <c r="D129" s="15" t="s">
        <v>121</v>
      </c>
      <c r="E129" s="3">
        <v>458</v>
      </c>
      <c r="F129" s="3">
        <v>3</v>
      </c>
      <c r="G129" s="5">
        <f>E129/F129</f>
        <v>152.66666666666666</v>
      </c>
      <c r="H129" s="19"/>
      <c r="J129" s="50"/>
      <c r="K129" s="51"/>
      <c r="L129" s="52"/>
      <c r="N129" s="104"/>
      <c r="O129" s="105"/>
      <c r="P129" s="106"/>
    </row>
    <row r="130" spans="1:16" ht="12.75" customHeight="1" x14ac:dyDescent="0.25">
      <c r="B130" s="128"/>
      <c r="D130" s="30" t="s">
        <v>118</v>
      </c>
      <c r="E130" s="3">
        <v>374</v>
      </c>
      <c r="F130" s="3">
        <v>3</v>
      </c>
      <c r="G130" s="5">
        <f>E130/F130</f>
        <v>124.66666666666667</v>
      </c>
      <c r="H130" s="19"/>
      <c r="I130" s="3">
        <v>74</v>
      </c>
      <c r="J130" s="50"/>
      <c r="K130" s="51"/>
      <c r="L130" s="52"/>
      <c r="N130" s="104"/>
      <c r="O130" s="105"/>
      <c r="P130" s="106"/>
    </row>
    <row r="131" spans="1:16" ht="12.75" customHeight="1" x14ac:dyDescent="0.25">
      <c r="B131" s="17"/>
      <c r="D131" s="3"/>
      <c r="G131" s="3"/>
      <c r="H131" s="19"/>
      <c r="J131" s="50"/>
      <c r="K131" s="51"/>
      <c r="L131" s="52"/>
      <c r="N131" s="104"/>
      <c r="O131" s="105"/>
      <c r="P131" s="106"/>
    </row>
    <row r="132" spans="1:16" x14ac:dyDescent="0.25">
      <c r="A132" s="138"/>
      <c r="B132" s="99"/>
      <c r="C132" s="96"/>
      <c r="D132" s="97"/>
      <c r="E132" s="96"/>
      <c r="F132" s="96"/>
      <c r="G132" s="98"/>
      <c r="H132" s="96"/>
      <c r="J132" s="50"/>
      <c r="K132" s="51"/>
      <c r="L132" s="52"/>
      <c r="N132" s="104"/>
      <c r="O132" s="105"/>
      <c r="P132" s="106"/>
    </row>
    <row r="133" spans="1:16" x14ac:dyDescent="0.25">
      <c r="A133" s="79">
        <v>45976</v>
      </c>
      <c r="B133" s="17" t="s">
        <v>334</v>
      </c>
      <c r="C133" s="19" t="s">
        <v>108</v>
      </c>
      <c r="D133" s="29" t="s">
        <v>269</v>
      </c>
      <c r="E133" s="3">
        <v>447</v>
      </c>
      <c r="F133" s="3">
        <v>3</v>
      </c>
      <c r="G133" s="5">
        <f t="shared" ref="G133:G139" si="5">E133/F133</f>
        <v>149</v>
      </c>
      <c r="H133" s="160"/>
      <c r="J133" s="50"/>
      <c r="K133" s="51"/>
      <c r="L133" s="52"/>
      <c r="N133" s="104"/>
      <c r="O133" s="105"/>
      <c r="P133" s="106"/>
    </row>
    <row r="134" spans="1:16" ht="13.2" customHeight="1" x14ac:dyDescent="0.25">
      <c r="A134" s="79" t="s">
        <v>228</v>
      </c>
      <c r="B134" s="17" t="s">
        <v>107</v>
      </c>
      <c r="D134" s="110" t="s">
        <v>226</v>
      </c>
      <c r="E134" s="3">
        <v>767</v>
      </c>
      <c r="F134" s="3">
        <v>5</v>
      </c>
      <c r="G134" s="5">
        <f t="shared" si="5"/>
        <v>153.4</v>
      </c>
      <c r="H134" s="19"/>
      <c r="J134" s="50"/>
      <c r="K134" s="51"/>
      <c r="L134" s="52"/>
      <c r="N134" s="104"/>
      <c r="O134" s="105"/>
      <c r="P134" s="106"/>
    </row>
    <row r="135" spans="1:16" ht="12.75" customHeight="1" x14ac:dyDescent="0.25">
      <c r="B135" s="19" t="s">
        <v>281</v>
      </c>
      <c r="D135" s="15" t="s">
        <v>267</v>
      </c>
      <c r="E135" s="3">
        <v>0</v>
      </c>
      <c r="F135" s="3">
        <v>0</v>
      </c>
      <c r="G135" s="5" t="e">
        <f t="shared" si="5"/>
        <v>#DIV/0!</v>
      </c>
      <c r="H135" s="19" t="s">
        <v>661</v>
      </c>
      <c r="J135" s="50"/>
      <c r="K135" s="51"/>
      <c r="L135" s="52"/>
      <c r="N135" s="104"/>
      <c r="O135" s="105"/>
      <c r="P135" s="106"/>
    </row>
    <row r="136" spans="1:16" ht="12.75" customHeight="1" x14ac:dyDescent="0.25">
      <c r="B136" s="17"/>
      <c r="D136" s="15" t="s">
        <v>125</v>
      </c>
      <c r="E136" s="3">
        <v>580</v>
      </c>
      <c r="F136" s="3">
        <v>4</v>
      </c>
      <c r="G136" s="5">
        <f t="shared" si="5"/>
        <v>145</v>
      </c>
      <c r="H136" s="19"/>
      <c r="J136" s="50"/>
      <c r="K136" s="51"/>
      <c r="L136" s="52"/>
      <c r="N136" s="104"/>
      <c r="O136" s="105"/>
      <c r="P136" s="106"/>
    </row>
    <row r="137" spans="1:16" ht="12.75" customHeight="1" x14ac:dyDescent="0.25">
      <c r="B137" s="17"/>
      <c r="D137" s="110" t="s">
        <v>224</v>
      </c>
      <c r="E137" s="3">
        <v>680</v>
      </c>
      <c r="F137" s="3">
        <v>5</v>
      </c>
      <c r="G137" s="5">
        <f>E137/F137</f>
        <v>136</v>
      </c>
      <c r="H137" s="19"/>
      <c r="J137" s="50"/>
      <c r="K137" s="51"/>
      <c r="L137" s="52"/>
      <c r="N137" s="104"/>
      <c r="O137" s="105"/>
      <c r="P137" s="106"/>
    </row>
    <row r="138" spans="1:16" ht="12.75" customHeight="1" x14ac:dyDescent="0.25">
      <c r="B138" s="17"/>
      <c r="D138" s="15" t="s">
        <v>263</v>
      </c>
      <c r="E138" s="3">
        <v>510</v>
      </c>
      <c r="F138" s="3">
        <v>4</v>
      </c>
      <c r="G138" s="5">
        <f t="shared" si="5"/>
        <v>127.5</v>
      </c>
      <c r="H138" s="19"/>
      <c r="J138" s="50"/>
      <c r="K138" s="51"/>
      <c r="L138" s="52"/>
      <c r="N138" s="104"/>
      <c r="O138" s="105"/>
      <c r="P138" s="106"/>
    </row>
    <row r="139" spans="1:16" x14ac:dyDescent="0.25">
      <c r="B139" s="17"/>
      <c r="D139" s="110" t="s">
        <v>622</v>
      </c>
      <c r="E139" s="3">
        <v>463</v>
      </c>
      <c r="F139" s="3">
        <v>4</v>
      </c>
      <c r="G139" s="5">
        <f t="shared" si="5"/>
        <v>115.75</v>
      </c>
      <c r="H139" s="19"/>
      <c r="I139" s="3">
        <v>80</v>
      </c>
      <c r="J139" s="50"/>
      <c r="K139" s="51"/>
      <c r="L139" s="52"/>
      <c r="N139" s="104"/>
      <c r="O139" s="105"/>
      <c r="P139" s="106"/>
    </row>
    <row r="140" spans="1:16" x14ac:dyDescent="0.25">
      <c r="A140" s="138"/>
      <c r="B140" s="95"/>
      <c r="C140" s="96"/>
      <c r="D140" s="97"/>
      <c r="E140" s="96"/>
      <c r="F140" s="96"/>
      <c r="G140" s="98"/>
      <c r="H140" s="96"/>
      <c r="J140" s="50"/>
      <c r="K140" s="51"/>
      <c r="L140" s="52"/>
      <c r="N140" s="104"/>
      <c r="O140" s="105"/>
      <c r="P140" s="106"/>
    </row>
    <row r="141" spans="1:16" x14ac:dyDescent="0.25">
      <c r="A141" s="79">
        <v>45976</v>
      </c>
      <c r="B141" s="17" t="s">
        <v>618</v>
      </c>
      <c r="C141" s="3" t="s">
        <v>136</v>
      </c>
      <c r="D141" s="30" t="s">
        <v>117</v>
      </c>
      <c r="E141" s="3">
        <v>1074</v>
      </c>
      <c r="F141" s="3">
        <v>7</v>
      </c>
      <c r="G141" s="5">
        <f t="shared" ref="G141:G143" si="6">E141/F141</f>
        <v>153.42857142857142</v>
      </c>
      <c r="H141" s="160"/>
      <c r="J141" s="50"/>
      <c r="K141" s="51"/>
      <c r="L141" s="52"/>
      <c r="N141" s="104"/>
      <c r="O141" s="105"/>
      <c r="P141" s="106"/>
    </row>
    <row r="142" spans="1:16" ht="13.2" customHeight="1" x14ac:dyDescent="0.25">
      <c r="A142" s="79" t="s">
        <v>228</v>
      </c>
      <c r="B142" s="17" t="s">
        <v>107</v>
      </c>
      <c r="D142" s="15" t="s">
        <v>178</v>
      </c>
      <c r="E142" s="3">
        <v>1005</v>
      </c>
      <c r="F142" s="3">
        <v>7</v>
      </c>
      <c r="G142" s="5">
        <f t="shared" si="6"/>
        <v>143.57142857142858</v>
      </c>
      <c r="H142" s="19" t="s">
        <v>660</v>
      </c>
      <c r="J142" s="50"/>
      <c r="K142" s="51"/>
      <c r="L142" s="52"/>
      <c r="N142" s="104"/>
      <c r="O142" s="105"/>
      <c r="P142" s="106"/>
    </row>
    <row r="143" spans="1:16" ht="13.2" customHeight="1" x14ac:dyDescent="0.25">
      <c r="B143" s="19" t="s">
        <v>280</v>
      </c>
      <c r="D143" s="29" t="s">
        <v>129</v>
      </c>
      <c r="E143" s="3">
        <v>1005</v>
      </c>
      <c r="F143" s="3">
        <v>7</v>
      </c>
      <c r="G143" s="5">
        <f t="shared" si="6"/>
        <v>143.57142857142858</v>
      </c>
      <c r="I143" s="3">
        <v>83</v>
      </c>
      <c r="J143" s="50"/>
      <c r="K143" s="51"/>
      <c r="L143" s="52"/>
      <c r="N143" s="104"/>
      <c r="O143" s="105"/>
      <c r="P143" s="106"/>
    </row>
    <row r="144" spans="1:16" x14ac:dyDescent="0.25">
      <c r="A144" s="138"/>
      <c r="B144" s="95"/>
      <c r="C144" s="96"/>
      <c r="D144" s="97"/>
      <c r="E144" s="96"/>
      <c r="F144" s="96"/>
      <c r="G144" s="98"/>
      <c r="H144" s="96"/>
      <c r="J144" s="50"/>
      <c r="K144" s="51"/>
      <c r="L144" s="52"/>
      <c r="N144" s="104"/>
      <c r="O144" s="105"/>
      <c r="P144" s="106"/>
    </row>
    <row r="145" spans="1:16" x14ac:dyDescent="0.25">
      <c r="A145" s="79">
        <v>45976</v>
      </c>
      <c r="B145" s="17" t="s">
        <v>619</v>
      </c>
      <c r="C145" s="3" t="s">
        <v>136</v>
      </c>
      <c r="D145" s="15" t="s">
        <v>297</v>
      </c>
      <c r="E145" s="3">
        <v>724</v>
      </c>
      <c r="F145" s="3">
        <v>5</v>
      </c>
      <c r="G145" s="5">
        <f t="shared" ref="G145:G148" si="7">E145/F145</f>
        <v>144.80000000000001</v>
      </c>
      <c r="H145" s="19"/>
      <c r="J145" s="50"/>
      <c r="K145" s="51"/>
      <c r="L145" s="52"/>
      <c r="N145" s="104"/>
      <c r="O145" s="105"/>
      <c r="P145" s="106"/>
    </row>
    <row r="146" spans="1:16" ht="15.6" x14ac:dyDescent="0.25">
      <c r="A146" s="79"/>
      <c r="B146" s="17" t="s">
        <v>107</v>
      </c>
      <c r="D146" s="15" t="s">
        <v>268</v>
      </c>
      <c r="E146" s="3">
        <v>862</v>
      </c>
      <c r="F146" s="3">
        <v>6</v>
      </c>
      <c r="G146" s="5">
        <f t="shared" ref="G146" si="8">E146/F146</f>
        <v>143.66666666666666</v>
      </c>
      <c r="H146" s="19" t="s">
        <v>421</v>
      </c>
      <c r="J146" s="50"/>
      <c r="K146" s="51"/>
      <c r="L146" s="52"/>
      <c r="N146" s="104"/>
      <c r="O146" s="105"/>
      <c r="P146" s="106"/>
    </row>
    <row r="147" spans="1:16" ht="13.2" customHeight="1" x14ac:dyDescent="0.25">
      <c r="A147" s="79" t="s">
        <v>227</v>
      </c>
      <c r="B147" s="19" t="s">
        <v>280</v>
      </c>
      <c r="D147" s="15" t="s">
        <v>217</v>
      </c>
      <c r="E147" s="3">
        <v>844</v>
      </c>
      <c r="F147" s="3">
        <v>6</v>
      </c>
      <c r="G147" s="5">
        <f t="shared" si="7"/>
        <v>140.66666666666666</v>
      </c>
      <c r="H147" s="19"/>
      <c r="J147" s="50"/>
      <c r="K147" s="51"/>
      <c r="L147" s="52"/>
      <c r="N147" s="104"/>
      <c r="O147" s="105"/>
      <c r="P147" s="106"/>
    </row>
    <row r="148" spans="1:16" x14ac:dyDescent="0.25">
      <c r="B148" s="17"/>
      <c r="D148" s="15" t="s">
        <v>179</v>
      </c>
      <c r="E148" s="3">
        <v>526</v>
      </c>
      <c r="F148" s="3">
        <v>4</v>
      </c>
      <c r="G148" s="5">
        <f t="shared" si="7"/>
        <v>131.5</v>
      </c>
      <c r="H148" s="19"/>
      <c r="I148" s="3">
        <v>87</v>
      </c>
      <c r="J148" s="50"/>
      <c r="K148" s="51"/>
      <c r="L148" s="52"/>
      <c r="N148" s="104"/>
      <c r="O148" s="105"/>
      <c r="P148" s="106"/>
    </row>
    <row r="149" spans="1:16" x14ac:dyDescent="0.25">
      <c r="A149" s="138"/>
      <c r="B149" s="95"/>
      <c r="C149" s="96"/>
      <c r="D149" s="97"/>
      <c r="E149" s="96"/>
      <c r="F149" s="96"/>
      <c r="G149" s="98"/>
      <c r="H149" s="98"/>
      <c r="J149" s="50"/>
      <c r="K149" s="47"/>
      <c r="L149" s="52"/>
      <c r="M149" s="19"/>
      <c r="N149" s="48"/>
      <c r="O149" s="27"/>
      <c r="P149" s="49"/>
    </row>
    <row r="150" spans="1:16" x14ac:dyDescent="0.25">
      <c r="A150" s="79">
        <v>45983</v>
      </c>
      <c r="B150" s="17" t="s">
        <v>681</v>
      </c>
      <c r="C150" s="19" t="s">
        <v>106</v>
      </c>
      <c r="D150" s="30" t="s">
        <v>117</v>
      </c>
      <c r="E150" s="3">
        <v>1260</v>
      </c>
      <c r="F150" s="3">
        <v>8</v>
      </c>
      <c r="G150" s="5">
        <f>E150/F150</f>
        <v>157.5</v>
      </c>
      <c r="H150" s="19" t="s">
        <v>661</v>
      </c>
      <c r="J150" s="50"/>
      <c r="K150" s="51"/>
      <c r="L150" s="52"/>
      <c r="N150" s="104"/>
      <c r="O150" s="105"/>
      <c r="P150" s="106"/>
    </row>
    <row r="151" spans="1:16" x14ac:dyDescent="0.25">
      <c r="B151" s="17" t="s">
        <v>683</v>
      </c>
      <c r="D151" s="30" t="s">
        <v>114</v>
      </c>
      <c r="E151" s="3">
        <v>1390</v>
      </c>
      <c r="F151" s="3">
        <v>8</v>
      </c>
      <c r="G151" s="5">
        <f t="shared" ref="G151:G161" si="9">E151/F151</f>
        <v>173.75</v>
      </c>
      <c r="H151" s="19"/>
      <c r="I151" s="3">
        <v>89</v>
      </c>
      <c r="J151" s="50"/>
      <c r="K151" s="51"/>
      <c r="L151" s="52"/>
      <c r="N151" s="104"/>
      <c r="O151" s="105"/>
      <c r="P151" s="106"/>
    </row>
    <row r="152" spans="1:16" x14ac:dyDescent="0.25">
      <c r="A152" s="156"/>
      <c r="B152" s="95"/>
      <c r="C152" s="96"/>
      <c r="D152" s="97"/>
      <c r="E152" s="96"/>
      <c r="F152" s="96"/>
      <c r="G152" s="98"/>
      <c r="H152" s="96"/>
      <c r="J152" s="50"/>
      <c r="K152" s="51"/>
      <c r="L152" s="52"/>
      <c r="N152" s="104"/>
      <c r="O152" s="105"/>
      <c r="P152" s="106"/>
    </row>
    <row r="153" spans="1:16" x14ac:dyDescent="0.25">
      <c r="A153" s="79">
        <v>45990</v>
      </c>
      <c r="B153" s="17" t="s">
        <v>695</v>
      </c>
      <c r="C153" s="3" t="s">
        <v>102</v>
      </c>
      <c r="D153" s="110" t="s">
        <v>230</v>
      </c>
      <c r="E153" s="3">
        <f>1237+1160+815</f>
        <v>3212</v>
      </c>
      <c r="F153" s="3">
        <f>6+6+4</f>
        <v>16</v>
      </c>
      <c r="G153" s="5">
        <f t="shared" ref="G153" si="10">E153/F153</f>
        <v>200.75</v>
      </c>
      <c r="H153" s="19" t="s">
        <v>694</v>
      </c>
      <c r="I153" s="3">
        <v>90</v>
      </c>
      <c r="J153" s="50"/>
      <c r="K153" s="51"/>
      <c r="L153" s="52"/>
      <c r="N153" s="104"/>
      <c r="O153" s="105"/>
      <c r="P153" s="106"/>
    </row>
    <row r="154" spans="1:16" x14ac:dyDescent="0.25">
      <c r="B154" s="19" t="s">
        <v>692</v>
      </c>
      <c r="D154" s="30"/>
      <c r="H154" s="19"/>
      <c r="J154" s="50"/>
      <c r="K154" s="51"/>
      <c r="L154" s="52"/>
      <c r="N154" s="104"/>
      <c r="O154" s="105"/>
      <c r="P154" s="106"/>
    </row>
    <row r="155" spans="1:16" x14ac:dyDescent="0.25">
      <c r="A155" s="156"/>
      <c r="B155" s="95"/>
      <c r="C155" s="96"/>
      <c r="D155" s="97"/>
      <c r="E155" s="96"/>
      <c r="F155" s="96"/>
      <c r="G155" s="98"/>
      <c r="H155" s="96"/>
      <c r="J155" s="50"/>
      <c r="K155" s="51"/>
      <c r="L155" s="52"/>
      <c r="N155" s="104"/>
      <c r="O155" s="105"/>
      <c r="P155" s="106"/>
    </row>
    <row r="156" spans="1:16" x14ac:dyDescent="0.25">
      <c r="A156" s="79">
        <v>45991</v>
      </c>
      <c r="B156" s="17" t="s">
        <v>220</v>
      </c>
      <c r="C156" s="19" t="s">
        <v>106</v>
      </c>
      <c r="D156" s="15" t="s">
        <v>297</v>
      </c>
      <c r="E156" s="3">
        <v>891</v>
      </c>
      <c r="F156" s="3">
        <v>6</v>
      </c>
      <c r="G156" s="5">
        <f t="shared" si="9"/>
        <v>148.5</v>
      </c>
      <c r="H156" s="19" t="s">
        <v>662</v>
      </c>
      <c r="J156" s="50"/>
      <c r="K156" s="51"/>
      <c r="L156" s="52"/>
      <c r="N156" s="104"/>
      <c r="O156" s="105"/>
      <c r="P156" s="106"/>
    </row>
    <row r="157" spans="1:16" x14ac:dyDescent="0.25">
      <c r="B157" s="17" t="s">
        <v>693</v>
      </c>
      <c r="C157" s="19"/>
      <c r="D157" s="15" t="s">
        <v>328</v>
      </c>
      <c r="E157" s="3">
        <v>1102</v>
      </c>
      <c r="F157" s="3">
        <v>6</v>
      </c>
      <c r="G157" s="5">
        <f t="shared" si="9"/>
        <v>183.66666666666666</v>
      </c>
      <c r="H157" s="19"/>
      <c r="I157" s="3">
        <v>92</v>
      </c>
      <c r="J157" s="50"/>
      <c r="K157" s="51"/>
      <c r="L157" s="52"/>
      <c r="N157" s="104"/>
      <c r="O157" s="105"/>
      <c r="P157" s="106"/>
    </row>
    <row r="158" spans="1:16" x14ac:dyDescent="0.25">
      <c r="A158" s="156"/>
      <c r="B158" s="95"/>
      <c r="C158" s="96"/>
      <c r="D158" s="97"/>
      <c r="E158" s="96"/>
      <c r="F158" s="96"/>
      <c r="G158" s="98"/>
      <c r="H158" s="96"/>
      <c r="J158" s="50"/>
      <c r="K158" s="51"/>
      <c r="L158" s="52"/>
      <c r="N158" s="104"/>
      <c r="O158" s="105"/>
      <c r="P158" s="106"/>
    </row>
    <row r="159" spans="1:16" x14ac:dyDescent="0.25">
      <c r="A159" s="79">
        <v>45991</v>
      </c>
      <c r="B159" s="17" t="s">
        <v>344</v>
      </c>
      <c r="C159" s="19" t="s">
        <v>350</v>
      </c>
      <c r="D159" s="15" t="s">
        <v>328</v>
      </c>
      <c r="E159" s="3">
        <v>1036</v>
      </c>
      <c r="F159" s="3">
        <v>6</v>
      </c>
      <c r="G159" s="5">
        <f t="shared" si="9"/>
        <v>172.66666666666666</v>
      </c>
      <c r="H159" s="19"/>
      <c r="J159" s="50"/>
      <c r="K159" s="51"/>
      <c r="L159" s="52"/>
      <c r="N159" s="104"/>
      <c r="O159" s="105"/>
      <c r="P159" s="106"/>
    </row>
    <row r="160" spans="1:16" x14ac:dyDescent="0.25">
      <c r="B160" s="17" t="s">
        <v>685</v>
      </c>
      <c r="C160" s="19"/>
      <c r="D160" s="15" t="s">
        <v>219</v>
      </c>
      <c r="E160" s="3">
        <v>983</v>
      </c>
      <c r="F160" s="3">
        <v>6</v>
      </c>
      <c r="G160" s="5">
        <f t="shared" si="9"/>
        <v>163.83333333333334</v>
      </c>
      <c r="H160" s="19" t="s">
        <v>660</v>
      </c>
      <c r="J160" s="50"/>
      <c r="K160" s="51"/>
      <c r="L160" s="52"/>
      <c r="N160" s="104"/>
      <c r="O160" s="105"/>
      <c r="P160" s="106"/>
    </row>
    <row r="161" spans="1:16" s="19" customFormat="1" ht="13.2" customHeight="1" x14ac:dyDescent="0.25">
      <c r="A161" s="129"/>
      <c r="B161" s="128"/>
      <c r="C161" s="3"/>
      <c r="D161" s="29" t="s">
        <v>269</v>
      </c>
      <c r="E161" s="3">
        <v>1021</v>
      </c>
      <c r="F161" s="3">
        <v>6</v>
      </c>
      <c r="G161" s="5">
        <f t="shared" si="9"/>
        <v>170.16666666666666</v>
      </c>
      <c r="I161" s="19">
        <v>95</v>
      </c>
      <c r="J161" s="46"/>
      <c r="K161" s="47"/>
      <c r="L161" s="52"/>
      <c r="N161" s="48"/>
      <c r="O161" s="27"/>
      <c r="P161" s="49"/>
    </row>
    <row r="162" spans="1:16" s="19" customFormat="1" ht="13.2" customHeight="1" x14ac:dyDescent="0.25">
      <c r="A162" s="129"/>
      <c r="B162" s="128"/>
      <c r="C162" s="3"/>
      <c r="D162" s="190" t="s">
        <v>684</v>
      </c>
      <c r="E162" s="26"/>
      <c r="F162" s="26"/>
      <c r="G162" s="189"/>
      <c r="H162" s="27"/>
      <c r="J162" s="46"/>
      <c r="K162" s="47"/>
      <c r="L162" s="52"/>
      <c r="N162" s="48"/>
      <c r="O162" s="27"/>
      <c r="P162" s="49"/>
    </row>
    <row r="163" spans="1:16" x14ac:dyDescent="0.25">
      <c r="A163" s="156"/>
      <c r="B163" s="95"/>
      <c r="C163" s="96"/>
      <c r="D163" s="97"/>
      <c r="E163" s="96"/>
      <c r="F163" s="96"/>
      <c r="G163" s="98"/>
      <c r="H163" s="96"/>
      <c r="J163" s="50"/>
      <c r="K163" s="51"/>
      <c r="L163" s="52"/>
      <c r="N163" s="104"/>
      <c r="O163" s="105"/>
      <c r="P163" s="106"/>
    </row>
    <row r="164" spans="1:16" ht="13.2" customHeight="1" x14ac:dyDescent="0.25">
      <c r="A164" s="79">
        <v>45998</v>
      </c>
      <c r="B164" s="17" t="s">
        <v>696</v>
      </c>
      <c r="C164" s="19" t="s">
        <v>106</v>
      </c>
      <c r="D164" s="15" t="s">
        <v>328</v>
      </c>
      <c r="E164" s="3">
        <v>1457</v>
      </c>
      <c r="F164" s="3">
        <v>9</v>
      </c>
      <c r="G164" s="5">
        <f t="shared" ref="G164:G171" si="11">E164/F164</f>
        <v>161.88888888888889</v>
      </c>
      <c r="H164" s="19" t="s">
        <v>697</v>
      </c>
      <c r="J164" s="50"/>
      <c r="K164" s="51"/>
      <c r="L164" s="52"/>
      <c r="N164" s="104"/>
      <c r="O164" s="105"/>
      <c r="P164" s="106"/>
    </row>
    <row r="165" spans="1:16" x14ac:dyDescent="0.25">
      <c r="B165" s="17" t="s">
        <v>698</v>
      </c>
      <c r="C165" s="19"/>
      <c r="D165" s="29" t="s">
        <v>269</v>
      </c>
      <c r="E165" s="3">
        <v>1404</v>
      </c>
      <c r="F165" s="3">
        <v>9</v>
      </c>
      <c r="G165" s="5">
        <f t="shared" si="11"/>
        <v>156</v>
      </c>
      <c r="H165" s="19"/>
      <c r="I165" s="3">
        <v>97</v>
      </c>
      <c r="J165" s="50"/>
      <c r="K165" s="51"/>
      <c r="L165" s="52"/>
      <c r="N165" s="104"/>
      <c r="O165" s="105"/>
      <c r="P165" s="106"/>
    </row>
    <row r="166" spans="1:16" x14ac:dyDescent="0.25">
      <c r="A166" s="138"/>
      <c r="B166" s="95"/>
      <c r="C166" s="96"/>
      <c r="D166" s="97"/>
      <c r="E166" s="96"/>
      <c r="F166" s="96"/>
      <c r="G166" s="98"/>
      <c r="H166" s="98"/>
      <c r="J166" s="50"/>
      <c r="K166" s="47"/>
      <c r="L166" s="52"/>
      <c r="M166" s="19"/>
      <c r="N166" s="48"/>
      <c r="O166" s="27"/>
      <c r="P166" s="49"/>
    </row>
    <row r="167" spans="1:16" x14ac:dyDescent="0.25">
      <c r="A167" s="79">
        <v>46005</v>
      </c>
      <c r="B167" s="17" t="s">
        <v>270</v>
      </c>
      <c r="C167" s="19" t="s">
        <v>102</v>
      </c>
      <c r="D167" s="110" t="s">
        <v>634</v>
      </c>
      <c r="E167" s="3">
        <v>294</v>
      </c>
      <c r="F167" s="3">
        <v>6</v>
      </c>
      <c r="G167" s="5">
        <f t="shared" si="11"/>
        <v>49</v>
      </c>
      <c r="H167" s="19" t="s">
        <v>699</v>
      </c>
      <c r="J167" s="50"/>
      <c r="K167" s="47"/>
      <c r="L167" s="52"/>
      <c r="M167" s="19"/>
      <c r="N167" s="48"/>
      <c r="O167" s="27"/>
      <c r="P167" s="49"/>
    </row>
    <row r="168" spans="1:16" x14ac:dyDescent="0.25">
      <c r="B168" s="17" t="s">
        <v>135</v>
      </c>
      <c r="D168" s="110" t="s">
        <v>226</v>
      </c>
      <c r="E168" s="3">
        <v>932</v>
      </c>
      <c r="F168" s="3">
        <v>6</v>
      </c>
      <c r="G168" s="5">
        <f t="shared" si="11"/>
        <v>155.33333333333334</v>
      </c>
      <c r="H168" s="19" t="s">
        <v>624</v>
      </c>
      <c r="J168" s="50"/>
      <c r="K168" s="47"/>
      <c r="L168" s="52"/>
      <c r="M168" s="19"/>
      <c r="N168" s="48"/>
      <c r="O168" s="27"/>
      <c r="P168" s="49"/>
    </row>
    <row r="169" spans="1:16" x14ac:dyDescent="0.25">
      <c r="A169" s="128"/>
      <c r="B169" s="19" t="s">
        <v>705</v>
      </c>
      <c r="C169" s="19"/>
      <c r="D169" s="112" t="s">
        <v>700</v>
      </c>
      <c r="E169" s="3">
        <v>623</v>
      </c>
      <c r="F169" s="3">
        <v>6</v>
      </c>
      <c r="G169" s="5">
        <f t="shared" si="11"/>
        <v>103.83333333333333</v>
      </c>
      <c r="H169" s="19" t="s">
        <v>701</v>
      </c>
      <c r="J169" s="50"/>
      <c r="K169" s="47"/>
      <c r="L169" s="52"/>
      <c r="M169" s="19"/>
      <c r="N169" s="48"/>
      <c r="O169" s="27"/>
      <c r="P169" s="49"/>
    </row>
    <row r="170" spans="1:16" x14ac:dyDescent="0.25">
      <c r="B170" s="19" t="s">
        <v>706</v>
      </c>
      <c r="D170" s="110" t="s">
        <v>230</v>
      </c>
      <c r="E170" s="3">
        <v>1235</v>
      </c>
      <c r="F170" s="3">
        <v>6</v>
      </c>
      <c r="G170" s="5">
        <f t="shared" si="11"/>
        <v>205.83333333333334</v>
      </c>
      <c r="H170" s="19" t="s">
        <v>702</v>
      </c>
      <c r="J170" s="50"/>
      <c r="K170" s="47"/>
      <c r="L170" s="52"/>
      <c r="M170" s="19"/>
      <c r="N170" s="48"/>
      <c r="O170" s="27"/>
      <c r="P170" s="49"/>
    </row>
    <row r="171" spans="1:16" x14ac:dyDescent="0.25">
      <c r="B171" s="19" t="s">
        <v>707</v>
      </c>
      <c r="D171" s="110" t="s">
        <v>622</v>
      </c>
      <c r="E171" s="3">
        <v>712</v>
      </c>
      <c r="F171" s="3">
        <v>6</v>
      </c>
      <c r="G171" s="5">
        <f t="shared" si="11"/>
        <v>118.66666666666667</v>
      </c>
      <c r="H171" s="19" t="s">
        <v>703</v>
      </c>
      <c r="I171" s="3">
        <v>102</v>
      </c>
      <c r="J171" s="50"/>
      <c r="K171" s="47"/>
      <c r="L171" s="52"/>
      <c r="M171" s="19"/>
      <c r="N171" s="48"/>
      <c r="O171" s="27"/>
      <c r="P171" s="49"/>
    </row>
    <row r="172" spans="1:16" x14ac:dyDescent="0.25">
      <c r="A172" s="138"/>
      <c r="B172" s="95"/>
      <c r="C172" s="96"/>
      <c r="D172" s="97"/>
      <c r="E172" s="96"/>
      <c r="F172" s="96"/>
      <c r="G172" s="98"/>
      <c r="H172" s="98"/>
      <c r="J172" s="50"/>
      <c r="K172" s="47"/>
      <c r="L172" s="52"/>
      <c r="M172" s="19"/>
      <c r="N172" s="48"/>
      <c r="O172" s="27"/>
      <c r="P172" s="49"/>
    </row>
    <row r="173" spans="1:16" x14ac:dyDescent="0.25">
      <c r="J173" s="50"/>
      <c r="K173" s="47"/>
      <c r="L173" s="52"/>
      <c r="M173" s="19"/>
      <c r="N173" s="48"/>
      <c r="O173" s="27"/>
      <c r="P173" s="49"/>
    </row>
    <row r="174" spans="1:16" x14ac:dyDescent="0.25">
      <c r="J174" s="50"/>
      <c r="K174" s="47"/>
      <c r="L174" s="52"/>
      <c r="M174" s="19"/>
      <c r="N174" s="48"/>
      <c r="O174" s="27"/>
      <c r="P174" s="49"/>
    </row>
    <row r="175" spans="1:16" x14ac:dyDescent="0.25">
      <c r="J175" s="50"/>
      <c r="K175" s="47"/>
      <c r="L175" s="52"/>
      <c r="M175" s="19"/>
      <c r="N175" s="48"/>
      <c r="O175" s="27"/>
      <c r="P175" s="49"/>
    </row>
    <row r="176" spans="1:16" x14ac:dyDescent="0.25">
      <c r="J176" s="50"/>
      <c r="K176" s="47"/>
      <c r="L176" s="52"/>
      <c r="M176" s="19"/>
      <c r="N176" s="48"/>
      <c r="O176" s="27"/>
      <c r="P176" s="49"/>
    </row>
    <row r="177" spans="1:16" x14ac:dyDescent="0.25">
      <c r="J177" s="50"/>
      <c r="K177" s="47"/>
      <c r="L177" s="52"/>
      <c r="M177" s="19"/>
      <c r="N177" s="48"/>
      <c r="O177" s="27"/>
      <c r="P177" s="49"/>
    </row>
    <row r="178" spans="1:16" x14ac:dyDescent="0.25">
      <c r="J178" s="50"/>
      <c r="K178" s="47"/>
      <c r="L178" s="52"/>
      <c r="M178" s="19"/>
      <c r="N178" s="48"/>
      <c r="O178" s="27"/>
      <c r="P178" s="49"/>
    </row>
    <row r="179" spans="1:16" x14ac:dyDescent="0.25">
      <c r="J179" s="50"/>
      <c r="K179" s="47"/>
      <c r="L179" s="52"/>
      <c r="M179" s="19"/>
      <c r="N179" s="48"/>
      <c r="O179" s="27"/>
      <c r="P179" s="49"/>
    </row>
    <row r="180" spans="1:16" x14ac:dyDescent="0.25">
      <c r="J180" s="50"/>
      <c r="K180" s="47"/>
      <c r="L180" s="52"/>
      <c r="M180" s="19"/>
      <c r="N180" s="48"/>
      <c r="O180" s="27"/>
      <c r="P180" s="49"/>
    </row>
    <row r="181" spans="1:16" x14ac:dyDescent="0.25">
      <c r="J181" s="50"/>
      <c r="K181" s="47"/>
      <c r="L181" s="52"/>
      <c r="M181" s="19"/>
      <c r="N181" s="48"/>
      <c r="O181" s="27"/>
      <c r="P181" s="49"/>
    </row>
    <row r="182" spans="1:16" x14ac:dyDescent="0.25">
      <c r="J182" s="50"/>
      <c r="K182" s="47"/>
      <c r="L182" s="52"/>
      <c r="M182" s="19"/>
      <c r="N182" s="48"/>
      <c r="O182" s="27"/>
      <c r="P182" s="49"/>
    </row>
    <row r="183" spans="1:16" x14ac:dyDescent="0.25">
      <c r="J183" s="50"/>
      <c r="K183" s="47"/>
      <c r="L183" s="52"/>
      <c r="M183" s="19"/>
      <c r="N183" s="48"/>
      <c r="O183" s="27"/>
      <c r="P183" s="49"/>
    </row>
    <row r="184" spans="1:16" x14ac:dyDescent="0.25">
      <c r="J184" s="50"/>
      <c r="K184" s="47"/>
      <c r="L184" s="52"/>
      <c r="M184" s="19"/>
      <c r="N184" s="48"/>
      <c r="O184" s="27"/>
      <c r="P184" s="49"/>
    </row>
    <row r="185" spans="1:16" x14ac:dyDescent="0.25">
      <c r="J185" s="50"/>
      <c r="K185" s="47"/>
      <c r="L185" s="52"/>
      <c r="M185" s="19"/>
      <c r="N185" s="48"/>
      <c r="O185" s="27"/>
      <c r="P185" s="49"/>
    </row>
    <row r="186" spans="1:16" x14ac:dyDescent="0.25">
      <c r="J186" s="50"/>
      <c r="K186" s="47"/>
      <c r="L186" s="52"/>
      <c r="M186" s="19"/>
      <c r="N186" s="48"/>
      <c r="O186" s="27"/>
      <c r="P186" s="49"/>
    </row>
    <row r="187" spans="1:16" x14ac:dyDescent="0.25">
      <c r="J187" s="50"/>
      <c r="K187" s="47"/>
      <c r="L187" s="52"/>
      <c r="M187" s="19"/>
      <c r="N187" s="48"/>
      <c r="O187" s="27"/>
      <c r="P187" s="49"/>
    </row>
    <row r="188" spans="1:16" x14ac:dyDescent="0.25">
      <c r="J188" s="50"/>
      <c r="K188" s="47"/>
      <c r="L188" s="52"/>
      <c r="M188" s="19"/>
      <c r="N188" s="48"/>
      <c r="O188" s="27"/>
      <c r="P188" s="49"/>
    </row>
    <row r="189" spans="1:16" x14ac:dyDescent="0.25">
      <c r="A189" s="138"/>
      <c r="B189" s="95"/>
      <c r="C189" s="96"/>
      <c r="D189" s="97"/>
      <c r="E189" s="96"/>
      <c r="F189" s="96"/>
      <c r="G189" s="98"/>
      <c r="H189" s="96"/>
      <c r="J189" s="50"/>
      <c r="K189" s="51"/>
      <c r="L189" s="52"/>
      <c r="N189" s="104"/>
      <c r="O189" s="105"/>
      <c r="P189" s="106"/>
    </row>
    <row r="190" spans="1:16" s="19" customFormat="1" ht="13.2" customHeight="1" x14ac:dyDescent="0.25">
      <c r="A190" s="79">
        <v>45627</v>
      </c>
      <c r="B190" s="17" t="s">
        <v>342</v>
      </c>
      <c r="C190" s="19" t="s">
        <v>106</v>
      </c>
      <c r="D190" s="15"/>
      <c r="E190" s="3"/>
      <c r="F190" s="3"/>
      <c r="G190" s="5"/>
      <c r="J190" s="46"/>
      <c r="K190" s="47"/>
      <c r="L190" s="52"/>
      <c r="N190" s="104"/>
      <c r="O190" s="105"/>
      <c r="P190" s="106"/>
    </row>
    <row r="191" spans="1:16" s="19" customFormat="1" ht="13.2" customHeight="1" x14ac:dyDescent="0.25">
      <c r="B191" s="17" t="s">
        <v>135</v>
      </c>
      <c r="D191" s="191"/>
      <c r="E191" s="31"/>
      <c r="F191" s="31"/>
      <c r="G191" s="32"/>
      <c r="H191" s="33"/>
      <c r="J191" s="46"/>
      <c r="K191" s="47"/>
      <c r="L191" s="52"/>
      <c r="N191" s="104"/>
      <c r="O191" s="105"/>
      <c r="P191" s="106"/>
    </row>
    <row r="192" spans="1:16" s="19" customFormat="1" ht="13.2" customHeight="1" x14ac:dyDescent="0.25">
      <c r="D192" s="15"/>
      <c r="E192" s="3"/>
      <c r="F192" s="3"/>
      <c r="G192" s="5"/>
      <c r="J192" s="46"/>
      <c r="K192" s="47"/>
      <c r="L192" s="52"/>
      <c r="N192" s="104"/>
      <c r="O192" s="105"/>
      <c r="P192" s="106"/>
    </row>
    <row r="193" spans="1:16" s="19" customFormat="1" ht="13.2" customHeight="1" x14ac:dyDescent="0.25">
      <c r="D193" s="29"/>
      <c r="E193" s="3"/>
      <c r="F193" s="3"/>
      <c r="G193" s="5"/>
      <c r="J193" s="46"/>
      <c r="K193" s="47"/>
      <c r="L193" s="52"/>
      <c r="N193" s="104"/>
      <c r="O193" s="105"/>
      <c r="P193" s="106"/>
    </row>
    <row r="194" spans="1:16" x14ac:dyDescent="0.25">
      <c r="A194" s="138"/>
      <c r="B194" s="95"/>
      <c r="C194" s="96"/>
      <c r="D194" s="97"/>
      <c r="E194" s="96"/>
      <c r="F194" s="96"/>
      <c r="G194" s="98"/>
      <c r="H194" s="96"/>
      <c r="J194" s="50"/>
      <c r="K194" s="51"/>
      <c r="L194" s="52"/>
      <c r="N194" s="104"/>
      <c r="O194" s="105"/>
      <c r="P194" s="106"/>
    </row>
    <row r="195" spans="1:16" s="19" customFormat="1" ht="13.2" customHeight="1" x14ac:dyDescent="0.25">
      <c r="A195" s="79">
        <v>45634</v>
      </c>
      <c r="B195" s="17" t="s">
        <v>271</v>
      </c>
      <c r="C195" s="19" t="s">
        <v>102</v>
      </c>
      <c r="D195" s="110"/>
      <c r="E195" s="3"/>
      <c r="F195" s="3"/>
      <c r="G195" s="5"/>
      <c r="H195" s="17"/>
      <c r="J195" s="46"/>
      <c r="K195" s="47"/>
      <c r="L195" s="52"/>
      <c r="N195" s="48"/>
      <c r="O195" s="27"/>
      <c r="P195" s="49"/>
    </row>
    <row r="196" spans="1:16" s="19" customFormat="1" ht="13.2" customHeight="1" x14ac:dyDescent="0.25">
      <c r="A196" s="129"/>
      <c r="B196" s="17" t="s">
        <v>135</v>
      </c>
      <c r="D196" s="110"/>
      <c r="E196" s="3"/>
      <c r="F196" s="3"/>
      <c r="G196" s="5"/>
      <c r="H196" s="17"/>
      <c r="J196" s="46"/>
      <c r="K196" s="47"/>
      <c r="L196" s="52"/>
      <c r="N196" s="48"/>
      <c r="O196" s="27"/>
      <c r="P196" s="49"/>
    </row>
    <row r="197" spans="1:16" s="19" customFormat="1" ht="13.2" customHeight="1" x14ac:dyDescent="0.25">
      <c r="A197" s="129"/>
      <c r="B197" s="19" t="s">
        <v>345</v>
      </c>
      <c r="C197" s="3"/>
      <c r="D197" s="110"/>
      <c r="E197" s="3"/>
      <c r="F197" s="3"/>
      <c r="G197" s="5"/>
      <c r="J197" s="46"/>
      <c r="K197" s="47"/>
      <c r="L197" s="52"/>
      <c r="N197" s="48"/>
      <c r="O197" s="27"/>
      <c r="P197" s="49"/>
    </row>
    <row r="198" spans="1:16" s="19" customFormat="1" ht="13.2" customHeight="1" x14ac:dyDescent="0.25">
      <c r="A198" s="129"/>
      <c r="B198" s="19" t="s">
        <v>343</v>
      </c>
      <c r="C198" s="3"/>
      <c r="D198" s="116"/>
      <c r="E198" s="3"/>
      <c r="F198" s="3"/>
      <c r="G198" s="5"/>
      <c r="J198" s="46"/>
      <c r="K198" s="47"/>
      <c r="L198" s="52"/>
      <c r="N198" s="48"/>
      <c r="O198" s="27"/>
      <c r="P198" s="49"/>
    </row>
    <row r="199" spans="1:16" s="19" customFormat="1" ht="13.2" customHeight="1" x14ac:dyDescent="0.25">
      <c r="A199" s="129"/>
      <c r="B199" s="19" t="s">
        <v>346</v>
      </c>
      <c r="C199" s="3"/>
      <c r="D199" s="112"/>
      <c r="E199" s="3"/>
      <c r="F199" s="3"/>
      <c r="G199" s="5"/>
      <c r="J199" s="46"/>
      <c r="K199" s="47"/>
      <c r="L199" s="52"/>
      <c r="N199" s="48"/>
      <c r="O199" s="27"/>
      <c r="P199" s="49"/>
    </row>
    <row r="200" spans="1:16" x14ac:dyDescent="0.25">
      <c r="A200" s="138"/>
      <c r="B200" s="95"/>
      <c r="C200" s="96"/>
      <c r="D200" s="97"/>
      <c r="E200" s="96"/>
      <c r="F200" s="96"/>
      <c r="G200" s="98"/>
      <c r="H200" s="96"/>
      <c r="J200" s="50"/>
      <c r="K200" s="51"/>
      <c r="L200" s="52"/>
      <c r="N200" s="104"/>
      <c r="O200" s="105"/>
      <c r="P200" s="106"/>
    </row>
    <row r="201" spans="1:16" s="19" customFormat="1" ht="13.2" customHeight="1" x14ac:dyDescent="0.25">
      <c r="A201" s="79">
        <v>45640</v>
      </c>
      <c r="B201" s="17" t="s">
        <v>272</v>
      </c>
      <c r="C201" s="19" t="s">
        <v>327</v>
      </c>
      <c r="D201" s="15"/>
      <c r="E201" s="3"/>
      <c r="F201" s="3"/>
      <c r="G201" s="5"/>
      <c r="J201" s="46"/>
      <c r="K201" s="47"/>
      <c r="L201" s="52"/>
      <c r="N201" s="104"/>
      <c r="O201" s="105"/>
      <c r="P201" s="106"/>
    </row>
    <row r="202" spans="1:16" s="19" customFormat="1" ht="13.2" customHeight="1" x14ac:dyDescent="0.25">
      <c r="A202" s="129"/>
      <c r="B202" s="17" t="s">
        <v>180</v>
      </c>
      <c r="D202" s="81"/>
      <c r="E202" s="31"/>
      <c r="F202" s="31"/>
      <c r="G202" s="32"/>
      <c r="H202" s="33"/>
      <c r="J202" s="46"/>
      <c r="K202" s="47"/>
      <c r="L202" s="52"/>
      <c r="N202" s="104"/>
      <c r="O202" s="105"/>
      <c r="P202" s="106"/>
    </row>
    <row r="203" spans="1:16" s="19" customFormat="1" ht="13.2" customHeight="1" x14ac:dyDescent="0.25">
      <c r="A203" s="129"/>
      <c r="B203" s="17"/>
      <c r="D203" s="30"/>
      <c r="E203" s="3"/>
      <c r="F203" s="3"/>
      <c r="G203" s="5"/>
      <c r="J203" s="46"/>
      <c r="K203" s="47"/>
      <c r="L203" s="52"/>
      <c r="N203" s="104"/>
      <c r="O203" s="105"/>
      <c r="P203" s="106"/>
    </row>
    <row r="204" spans="1:16" s="19" customFormat="1" ht="13.2" customHeight="1" x14ac:dyDescent="0.25">
      <c r="A204" s="129"/>
      <c r="B204" s="17"/>
      <c r="D204" s="30"/>
      <c r="E204" s="3"/>
      <c r="F204" s="3"/>
      <c r="G204" s="5"/>
      <c r="J204" s="46"/>
      <c r="K204" s="47"/>
      <c r="L204" s="52"/>
      <c r="N204" s="104"/>
      <c r="O204" s="105"/>
      <c r="P204" s="106"/>
    </row>
    <row r="205" spans="1:16" x14ac:dyDescent="0.25">
      <c r="A205" s="138"/>
      <c r="B205" s="95"/>
      <c r="C205" s="96"/>
      <c r="D205" s="97"/>
      <c r="E205" s="96"/>
      <c r="F205" s="96"/>
      <c r="G205" s="98"/>
      <c r="H205" s="96"/>
      <c r="J205" s="50"/>
      <c r="K205" s="51"/>
      <c r="L205" s="52"/>
      <c r="N205" s="104"/>
      <c r="O205" s="105"/>
      <c r="P205" s="106"/>
    </row>
    <row r="206" spans="1:16" s="19" customFormat="1" ht="13.2" customHeight="1" x14ac:dyDescent="0.25">
      <c r="A206" s="79">
        <v>45668</v>
      </c>
      <c r="B206" s="17" t="s">
        <v>344</v>
      </c>
      <c r="C206" s="19" t="s">
        <v>350</v>
      </c>
      <c r="D206" s="15"/>
      <c r="E206" s="3"/>
      <c r="F206" s="3"/>
      <c r="G206" s="5"/>
      <c r="H206" s="101"/>
      <c r="J206" s="46"/>
      <c r="K206" s="47"/>
      <c r="L206" s="52"/>
      <c r="N206" s="104"/>
      <c r="O206" s="105"/>
      <c r="P206" s="106"/>
    </row>
    <row r="207" spans="1:16" s="19" customFormat="1" ht="13.2" customHeight="1" x14ac:dyDescent="0.25">
      <c r="A207" s="129"/>
      <c r="B207" s="17" t="s">
        <v>351</v>
      </c>
      <c r="D207" s="15"/>
      <c r="E207" s="3"/>
      <c r="F207" s="3"/>
      <c r="G207" s="5"/>
      <c r="H207" s="101"/>
      <c r="J207" s="46"/>
      <c r="K207" s="47"/>
      <c r="L207" s="52"/>
      <c r="N207" s="104"/>
      <c r="O207" s="105"/>
      <c r="P207" s="106"/>
    </row>
    <row r="208" spans="1:16" s="19" customFormat="1" ht="13.2" customHeight="1" x14ac:dyDescent="0.25">
      <c r="A208" s="129"/>
      <c r="B208" s="17"/>
      <c r="D208" s="29"/>
      <c r="E208" s="3"/>
      <c r="F208" s="3"/>
      <c r="G208" s="5"/>
      <c r="H208" s="101"/>
      <c r="J208" s="46"/>
      <c r="K208" s="47"/>
      <c r="L208" s="52"/>
      <c r="N208" s="104"/>
      <c r="O208" s="105"/>
      <c r="P208" s="106"/>
    </row>
    <row r="209" spans="1:16" s="19" customFormat="1" ht="13.2" customHeight="1" x14ac:dyDescent="0.25">
      <c r="A209" s="129"/>
      <c r="B209" s="17"/>
      <c r="D209" s="15"/>
      <c r="E209" s="3"/>
      <c r="F209" s="3"/>
      <c r="G209" s="5"/>
      <c r="H209" s="101"/>
      <c r="J209" s="46"/>
      <c r="K209" s="47"/>
      <c r="L209" s="52"/>
      <c r="N209" s="104"/>
      <c r="O209" s="105"/>
      <c r="P209" s="106"/>
    </row>
    <row r="210" spans="1:16" x14ac:dyDescent="0.25">
      <c r="A210" s="138"/>
      <c r="B210" s="95"/>
      <c r="C210" s="96"/>
      <c r="D210" s="97"/>
      <c r="E210" s="96"/>
      <c r="F210" s="96"/>
      <c r="G210" s="98"/>
      <c r="H210" s="96"/>
      <c r="J210" s="50"/>
      <c r="K210" s="51"/>
      <c r="L210" s="52"/>
      <c r="N210" s="104"/>
      <c r="O210" s="105"/>
      <c r="P210" s="106"/>
    </row>
    <row r="211" spans="1:16" s="19" customFormat="1" ht="13.2" customHeight="1" x14ac:dyDescent="0.25">
      <c r="A211" s="79">
        <v>45669</v>
      </c>
      <c r="B211" s="17" t="s">
        <v>347</v>
      </c>
      <c r="C211" s="19" t="s">
        <v>102</v>
      </c>
      <c r="D211" s="110"/>
      <c r="E211" s="3"/>
      <c r="F211" s="3"/>
      <c r="G211" s="5"/>
      <c r="J211" s="46"/>
      <c r="K211" s="47"/>
      <c r="L211" s="52"/>
      <c r="N211" s="104"/>
      <c r="O211" s="105"/>
      <c r="P211" s="106"/>
    </row>
    <row r="212" spans="1:16" x14ac:dyDescent="0.25">
      <c r="A212" s="138"/>
      <c r="B212" s="95"/>
      <c r="C212" s="96"/>
      <c r="D212" s="97"/>
      <c r="E212" s="96"/>
      <c r="F212" s="96"/>
      <c r="G212" s="98"/>
      <c r="H212" s="96"/>
      <c r="J212" s="50"/>
      <c r="K212" s="51"/>
      <c r="L212" s="52"/>
      <c r="N212" s="104"/>
      <c r="O212" s="105"/>
      <c r="P212" s="106"/>
    </row>
    <row r="213" spans="1:16" x14ac:dyDescent="0.25">
      <c r="A213" s="79" t="s">
        <v>679</v>
      </c>
      <c r="B213" s="17" t="s">
        <v>664</v>
      </c>
      <c r="C213" s="3" t="s">
        <v>108</v>
      </c>
      <c r="D213" s="30" t="s">
        <v>122</v>
      </c>
      <c r="G213" s="5" t="e">
        <f t="shared" ref="G213:G215" si="12">E213/F213</f>
        <v>#DIV/0!</v>
      </c>
      <c r="J213" s="50"/>
      <c r="K213" s="51"/>
      <c r="L213" s="52"/>
      <c r="N213" s="104"/>
      <c r="O213" s="105"/>
      <c r="P213" s="106"/>
    </row>
    <row r="214" spans="1:16" ht="13.2" customHeight="1" x14ac:dyDescent="0.25">
      <c r="A214" s="79" t="s">
        <v>348</v>
      </c>
      <c r="B214" s="17" t="s">
        <v>678</v>
      </c>
      <c r="D214" s="15" t="s">
        <v>120</v>
      </c>
      <c r="G214" s="5" t="e">
        <f t="shared" si="12"/>
        <v>#DIV/0!</v>
      </c>
      <c r="H214" s="160"/>
      <c r="J214" s="50"/>
      <c r="K214" s="51"/>
      <c r="L214" s="52"/>
      <c r="N214" s="104"/>
      <c r="O214" s="105"/>
      <c r="P214" s="106"/>
    </row>
    <row r="215" spans="1:16" ht="13.2" customHeight="1" x14ac:dyDescent="0.25">
      <c r="B215" s="19" t="s">
        <v>315</v>
      </c>
      <c r="D215" s="15" t="s">
        <v>328</v>
      </c>
      <c r="G215" s="5" t="e">
        <f t="shared" si="12"/>
        <v>#DIV/0!</v>
      </c>
      <c r="H215" s="19" t="s">
        <v>640</v>
      </c>
      <c r="J215" s="50"/>
      <c r="K215" s="51"/>
      <c r="L215" s="52"/>
      <c r="N215" s="104"/>
      <c r="O215" s="105"/>
      <c r="P215" s="106"/>
    </row>
    <row r="216" spans="1:16" x14ac:dyDescent="0.25">
      <c r="B216" s="17"/>
      <c r="D216" s="15" t="s">
        <v>219</v>
      </c>
      <c r="G216" s="5" t="e">
        <f>E216/F216</f>
        <v>#DIV/0!</v>
      </c>
      <c r="J216" s="50"/>
      <c r="K216" s="51"/>
      <c r="L216" s="52"/>
      <c r="N216" s="104"/>
      <c r="O216" s="105"/>
      <c r="P216" s="106"/>
    </row>
    <row r="217" spans="1:16" x14ac:dyDescent="0.25">
      <c r="B217" s="17"/>
      <c r="D217" s="30" t="s">
        <v>114</v>
      </c>
      <c r="G217" s="5" t="e">
        <f>E217/F217</f>
        <v>#DIV/0!</v>
      </c>
      <c r="J217" s="50"/>
      <c r="K217" s="51"/>
      <c r="L217" s="52"/>
      <c r="N217" s="104"/>
      <c r="O217" s="105"/>
      <c r="P217" s="106"/>
    </row>
    <row r="218" spans="1:16" x14ac:dyDescent="0.25">
      <c r="A218" s="3"/>
      <c r="B218" s="3"/>
      <c r="D218" s="29" t="s">
        <v>416</v>
      </c>
      <c r="G218" s="5" t="e">
        <f t="shared" ref="G218" si="13">E218/F218</f>
        <v>#DIV/0!</v>
      </c>
      <c r="J218" s="50"/>
      <c r="K218" s="51"/>
      <c r="L218" s="52"/>
      <c r="N218" s="104"/>
      <c r="O218" s="105"/>
      <c r="P218" s="106"/>
    </row>
    <row r="219" spans="1:16" x14ac:dyDescent="0.25">
      <c r="A219" s="138"/>
      <c r="B219" s="99"/>
      <c r="C219" s="96"/>
      <c r="D219" s="97"/>
      <c r="E219" s="96"/>
      <c r="F219" s="96"/>
      <c r="G219" s="98"/>
      <c r="H219" s="96"/>
      <c r="J219" s="50"/>
      <c r="K219" s="51"/>
      <c r="L219" s="52"/>
      <c r="N219" s="104"/>
      <c r="O219" s="105"/>
      <c r="P219" s="106"/>
    </row>
    <row r="220" spans="1:16" x14ac:dyDescent="0.25">
      <c r="A220" s="79">
        <v>46103</v>
      </c>
      <c r="B220" s="17" t="s">
        <v>333</v>
      </c>
      <c r="C220" s="19" t="s">
        <v>108</v>
      </c>
      <c r="D220" s="110" t="s">
        <v>230</v>
      </c>
      <c r="G220" s="5" t="e">
        <f t="shared" ref="G220" si="14">E220/F220</f>
        <v>#DIV/0!</v>
      </c>
      <c r="H220" s="160"/>
      <c r="J220" s="50"/>
      <c r="K220" s="51"/>
      <c r="L220" s="52"/>
      <c r="N220" s="104"/>
      <c r="O220" s="105"/>
      <c r="P220" s="106"/>
    </row>
    <row r="221" spans="1:16" ht="13.2" customHeight="1" x14ac:dyDescent="0.25">
      <c r="A221" s="79" t="s">
        <v>227</v>
      </c>
      <c r="B221" s="17" t="s">
        <v>678</v>
      </c>
      <c r="D221" s="29" t="s">
        <v>130</v>
      </c>
      <c r="G221" s="5" t="e">
        <f>E221/F221</f>
        <v>#DIV/0!</v>
      </c>
      <c r="H221" s="19"/>
      <c r="J221" s="50"/>
      <c r="K221" s="51"/>
      <c r="L221" s="52"/>
      <c r="N221" s="104"/>
      <c r="O221" s="105"/>
      <c r="P221" s="106"/>
    </row>
    <row r="222" spans="1:16" ht="12.75" customHeight="1" x14ac:dyDescent="0.25">
      <c r="B222" s="19" t="s">
        <v>281</v>
      </c>
      <c r="D222" s="29" t="s">
        <v>223</v>
      </c>
      <c r="G222" s="5" t="e">
        <f t="shared" ref="G222:G223" si="15">E222/F222</f>
        <v>#DIV/0!</v>
      </c>
      <c r="H222" s="19" t="s">
        <v>660</v>
      </c>
      <c r="J222" s="50"/>
      <c r="K222" s="51"/>
      <c r="L222" s="52"/>
      <c r="N222" s="104"/>
      <c r="O222" s="105"/>
      <c r="P222" s="106"/>
    </row>
    <row r="223" spans="1:16" ht="12.75" customHeight="1" x14ac:dyDescent="0.25">
      <c r="B223" s="128"/>
      <c r="D223" s="30" t="s">
        <v>262</v>
      </c>
      <c r="G223" s="5" t="e">
        <f t="shared" si="15"/>
        <v>#DIV/0!</v>
      </c>
      <c r="H223" s="19"/>
      <c r="J223" s="50"/>
      <c r="K223" s="51"/>
      <c r="L223" s="52"/>
      <c r="N223" s="104"/>
      <c r="O223" s="105"/>
      <c r="P223" s="106"/>
    </row>
    <row r="224" spans="1:16" ht="12.75" customHeight="1" x14ac:dyDescent="0.25">
      <c r="B224" s="128"/>
      <c r="D224" s="15" t="s">
        <v>121</v>
      </c>
      <c r="G224" s="5" t="e">
        <f>E224/F224</f>
        <v>#DIV/0!</v>
      </c>
      <c r="H224" s="19"/>
      <c r="J224" s="50"/>
      <c r="K224" s="51"/>
      <c r="L224" s="52"/>
      <c r="N224" s="104"/>
      <c r="O224" s="105"/>
      <c r="P224" s="106"/>
    </row>
    <row r="225" spans="1:16" ht="12.75" customHeight="1" x14ac:dyDescent="0.25">
      <c r="B225" s="128"/>
      <c r="D225" s="30" t="s">
        <v>118</v>
      </c>
      <c r="G225" s="5" t="e">
        <f>E225/F225</f>
        <v>#DIV/0!</v>
      </c>
      <c r="H225" s="19"/>
      <c r="J225" s="50"/>
      <c r="K225" s="51"/>
      <c r="L225" s="52"/>
      <c r="N225" s="104"/>
      <c r="O225" s="105"/>
      <c r="P225" s="106"/>
    </row>
    <row r="226" spans="1:16" ht="12.75" customHeight="1" x14ac:dyDescent="0.25">
      <c r="B226" s="17"/>
      <c r="D226" s="3"/>
      <c r="G226" s="3"/>
      <c r="H226" s="19"/>
      <c r="J226" s="50"/>
      <c r="K226" s="51"/>
      <c r="L226" s="52"/>
      <c r="N226" s="104"/>
      <c r="O226" s="105"/>
      <c r="P226" s="106"/>
    </row>
    <row r="227" spans="1:16" x14ac:dyDescent="0.25">
      <c r="A227" s="138"/>
      <c r="B227" s="99"/>
      <c r="C227" s="96"/>
      <c r="D227" s="97"/>
      <c r="E227" s="96"/>
      <c r="F227" s="96"/>
      <c r="G227" s="98"/>
      <c r="H227" s="96"/>
      <c r="J227" s="50"/>
      <c r="K227" s="51"/>
      <c r="L227" s="52"/>
      <c r="N227" s="104"/>
      <c r="O227" s="105"/>
      <c r="P227" s="106"/>
    </row>
    <row r="228" spans="1:16" x14ac:dyDescent="0.25">
      <c r="A228" s="79">
        <v>46103</v>
      </c>
      <c r="B228" s="17" t="s">
        <v>334</v>
      </c>
      <c r="C228" s="19" t="s">
        <v>108</v>
      </c>
      <c r="D228" s="29" t="s">
        <v>269</v>
      </c>
      <c r="G228" s="5" t="e">
        <f t="shared" ref="G228:G231" si="16">E228/F228</f>
        <v>#DIV/0!</v>
      </c>
      <c r="H228" s="160"/>
      <c r="J228" s="50"/>
      <c r="K228" s="51"/>
      <c r="L228" s="52"/>
      <c r="N228" s="104"/>
      <c r="O228" s="105"/>
      <c r="P228" s="106"/>
    </row>
    <row r="229" spans="1:16" ht="13.2" customHeight="1" x14ac:dyDescent="0.25">
      <c r="A229" s="79" t="s">
        <v>227</v>
      </c>
      <c r="B229" s="17" t="s">
        <v>678</v>
      </c>
      <c r="D229" s="110" t="s">
        <v>226</v>
      </c>
      <c r="G229" s="5" t="e">
        <f t="shared" si="16"/>
        <v>#DIV/0!</v>
      </c>
      <c r="H229" s="19"/>
      <c r="J229" s="50"/>
      <c r="K229" s="51"/>
      <c r="L229" s="52"/>
      <c r="N229" s="104"/>
      <c r="O229" s="105"/>
      <c r="P229" s="106"/>
    </row>
    <row r="230" spans="1:16" ht="12.75" customHeight="1" x14ac:dyDescent="0.25">
      <c r="B230" s="19" t="s">
        <v>281</v>
      </c>
      <c r="D230" s="15" t="s">
        <v>267</v>
      </c>
      <c r="G230" s="5" t="e">
        <f t="shared" si="16"/>
        <v>#DIV/0!</v>
      </c>
      <c r="H230" s="19" t="s">
        <v>661</v>
      </c>
      <c r="J230" s="50"/>
      <c r="K230" s="51"/>
      <c r="L230" s="52"/>
      <c r="N230" s="104"/>
      <c r="O230" s="105"/>
      <c r="P230" s="106"/>
    </row>
    <row r="231" spans="1:16" ht="12.75" customHeight="1" x14ac:dyDescent="0.25">
      <c r="B231" s="17"/>
      <c r="D231" s="15" t="s">
        <v>125</v>
      </c>
      <c r="G231" s="5" t="e">
        <f t="shared" si="16"/>
        <v>#DIV/0!</v>
      </c>
      <c r="H231" s="19"/>
      <c r="J231" s="50"/>
      <c r="K231" s="51"/>
      <c r="L231" s="52"/>
      <c r="N231" s="104"/>
      <c r="O231" s="105"/>
      <c r="P231" s="106"/>
    </row>
    <row r="232" spans="1:16" ht="12.75" customHeight="1" x14ac:dyDescent="0.25">
      <c r="B232" s="17"/>
      <c r="D232" s="110" t="s">
        <v>224</v>
      </c>
      <c r="G232" s="5" t="e">
        <f>E232/F232</f>
        <v>#DIV/0!</v>
      </c>
      <c r="H232" s="19"/>
      <c r="J232" s="50"/>
      <c r="K232" s="51"/>
      <c r="L232" s="52"/>
      <c r="N232" s="104"/>
      <c r="O232" s="105"/>
      <c r="P232" s="106"/>
    </row>
    <row r="233" spans="1:16" ht="12.75" customHeight="1" x14ac:dyDescent="0.25">
      <c r="B233" s="17"/>
      <c r="D233" s="15" t="s">
        <v>263</v>
      </c>
      <c r="G233" s="5" t="e">
        <f t="shared" ref="G233:G234" si="17">E233/F233</f>
        <v>#DIV/0!</v>
      </c>
      <c r="H233" s="19"/>
      <c r="J233" s="50"/>
      <c r="K233" s="51"/>
      <c r="L233" s="52"/>
      <c r="N233" s="104"/>
      <c r="O233" s="105"/>
      <c r="P233" s="106"/>
    </row>
    <row r="234" spans="1:16" x14ac:dyDescent="0.25">
      <c r="B234" s="17"/>
      <c r="D234" s="110" t="s">
        <v>622</v>
      </c>
      <c r="G234" s="5" t="e">
        <f t="shared" si="17"/>
        <v>#DIV/0!</v>
      </c>
      <c r="H234" s="19"/>
      <c r="J234" s="50"/>
      <c r="K234" s="51"/>
      <c r="L234" s="52"/>
      <c r="N234" s="104"/>
      <c r="O234" s="105"/>
      <c r="P234" s="106"/>
    </row>
    <row r="235" spans="1:16" x14ac:dyDescent="0.25">
      <c r="A235" s="138"/>
      <c r="B235" s="95"/>
      <c r="C235" s="96"/>
      <c r="D235" s="97"/>
      <c r="E235" s="96"/>
      <c r="F235" s="96"/>
      <c r="G235" s="98"/>
      <c r="H235" s="96"/>
      <c r="J235" s="50"/>
      <c r="K235" s="51"/>
      <c r="L235" s="52"/>
      <c r="N235" s="104"/>
      <c r="O235" s="105"/>
      <c r="P235" s="106"/>
    </row>
    <row r="236" spans="1:16" x14ac:dyDescent="0.25">
      <c r="A236" s="79">
        <v>46102</v>
      </c>
      <c r="B236" s="17" t="s">
        <v>618</v>
      </c>
      <c r="C236" s="3" t="s">
        <v>136</v>
      </c>
      <c r="D236" s="30" t="s">
        <v>117</v>
      </c>
      <c r="G236" s="5" t="e">
        <f t="shared" ref="G236:G238" si="18">E236/F236</f>
        <v>#DIV/0!</v>
      </c>
      <c r="H236" s="160"/>
      <c r="J236" s="50"/>
      <c r="K236" s="51"/>
      <c r="L236" s="52"/>
      <c r="N236" s="104"/>
      <c r="O236" s="105"/>
      <c r="P236" s="106"/>
    </row>
    <row r="237" spans="1:16" ht="13.2" customHeight="1" x14ac:dyDescent="0.25">
      <c r="A237" s="79" t="s">
        <v>228</v>
      </c>
      <c r="B237" s="17" t="s">
        <v>678</v>
      </c>
      <c r="D237" s="15" t="s">
        <v>178</v>
      </c>
      <c r="G237" s="5" t="e">
        <f t="shared" si="18"/>
        <v>#DIV/0!</v>
      </c>
      <c r="H237" s="19" t="s">
        <v>660</v>
      </c>
      <c r="J237" s="50"/>
      <c r="K237" s="51"/>
      <c r="L237" s="52"/>
      <c r="N237" s="104"/>
      <c r="O237" s="105"/>
      <c r="P237" s="106"/>
    </row>
    <row r="238" spans="1:16" ht="13.2" customHeight="1" x14ac:dyDescent="0.25">
      <c r="B238" s="19" t="s">
        <v>280</v>
      </c>
      <c r="D238" s="29" t="s">
        <v>129</v>
      </c>
      <c r="G238" s="5" t="e">
        <f t="shared" si="18"/>
        <v>#DIV/0!</v>
      </c>
      <c r="J238" s="50"/>
      <c r="K238" s="51"/>
      <c r="L238" s="52"/>
      <c r="N238" s="104"/>
      <c r="O238" s="105"/>
      <c r="P238" s="106"/>
    </row>
    <row r="239" spans="1:16" x14ac:dyDescent="0.25">
      <c r="A239" s="138"/>
      <c r="B239" s="95"/>
      <c r="C239" s="96"/>
      <c r="D239" s="97"/>
      <c r="E239" s="96"/>
      <c r="F239" s="96"/>
      <c r="G239" s="98"/>
      <c r="H239" s="96"/>
      <c r="J239" s="50"/>
      <c r="K239" s="51"/>
      <c r="L239" s="52"/>
      <c r="N239" s="104"/>
      <c r="O239" s="105"/>
      <c r="P239" s="106"/>
    </row>
    <row r="240" spans="1:16" x14ac:dyDescent="0.25">
      <c r="A240" s="79">
        <v>46102</v>
      </c>
      <c r="B240" s="17" t="s">
        <v>619</v>
      </c>
      <c r="C240" s="3" t="s">
        <v>136</v>
      </c>
      <c r="D240" s="15" t="s">
        <v>297</v>
      </c>
      <c r="G240" s="5" t="e">
        <f t="shared" ref="G240:G243" si="19">E240/F240</f>
        <v>#DIV/0!</v>
      </c>
      <c r="H240" s="19"/>
      <c r="J240" s="50"/>
      <c r="K240" s="51"/>
      <c r="L240" s="52"/>
      <c r="N240" s="104"/>
      <c r="O240" s="105"/>
      <c r="P240" s="106"/>
    </row>
    <row r="241" spans="1:16" x14ac:dyDescent="0.25">
      <c r="A241" s="79" t="s">
        <v>228</v>
      </c>
      <c r="B241" s="17" t="s">
        <v>678</v>
      </c>
      <c r="D241" s="15" t="s">
        <v>268</v>
      </c>
      <c r="G241" s="5" t="e">
        <f t="shared" si="19"/>
        <v>#DIV/0!</v>
      </c>
      <c r="H241" s="19" t="s">
        <v>421</v>
      </c>
      <c r="J241" s="50"/>
      <c r="K241" s="51"/>
      <c r="L241" s="52"/>
      <c r="N241" s="104"/>
      <c r="O241" s="105"/>
      <c r="P241" s="106"/>
    </row>
    <row r="242" spans="1:16" ht="13.2" customHeight="1" x14ac:dyDescent="0.25">
      <c r="A242" s="79"/>
      <c r="B242" s="19" t="s">
        <v>280</v>
      </c>
      <c r="D242" s="15" t="s">
        <v>217</v>
      </c>
      <c r="G242" s="5" t="e">
        <f t="shared" si="19"/>
        <v>#DIV/0!</v>
      </c>
      <c r="H242" s="19"/>
      <c r="J242" s="50"/>
      <c r="K242" s="51"/>
      <c r="L242" s="52"/>
      <c r="N242" s="104"/>
      <c r="O242" s="105"/>
      <c r="P242" s="106"/>
    </row>
    <row r="243" spans="1:16" x14ac:dyDescent="0.25">
      <c r="B243" s="17"/>
      <c r="D243" s="15" t="s">
        <v>179</v>
      </c>
      <c r="G243" s="5" t="e">
        <f t="shared" si="19"/>
        <v>#DIV/0!</v>
      </c>
      <c r="H243" s="19"/>
      <c r="J243" s="50"/>
      <c r="K243" s="51"/>
      <c r="L243" s="52"/>
      <c r="N243" s="104"/>
      <c r="O243" s="105"/>
      <c r="P243" s="106"/>
    </row>
    <row r="244" spans="1:16" x14ac:dyDescent="0.25">
      <c r="A244" s="138"/>
      <c r="B244" s="95"/>
      <c r="C244" s="96"/>
      <c r="D244" s="97"/>
      <c r="E244" s="96"/>
      <c r="F244" s="96"/>
      <c r="G244" s="98"/>
      <c r="H244" s="98"/>
      <c r="J244" s="50"/>
      <c r="K244" s="47"/>
      <c r="L244" s="52"/>
      <c r="M244" s="19"/>
      <c r="N244" s="48"/>
      <c r="O244" s="27"/>
      <c r="P244" s="49"/>
    </row>
    <row r="245" spans="1:16" ht="13.2" customHeight="1" x14ac:dyDescent="0.25">
      <c r="A245" s="79"/>
      <c r="B245" s="17"/>
      <c r="D245" s="15"/>
      <c r="J245" s="50"/>
      <c r="K245" s="51"/>
      <c r="L245" s="52"/>
      <c r="N245" s="104"/>
      <c r="O245" s="105"/>
      <c r="P245" s="106"/>
    </row>
    <row r="246" spans="1:16" ht="13.2" customHeight="1" x14ac:dyDescent="0.25">
      <c r="A246" s="79"/>
      <c r="B246" s="19"/>
      <c r="D246" s="15"/>
      <c r="H246" s="19"/>
      <c r="J246" s="50"/>
      <c r="K246" s="51"/>
      <c r="L246" s="52"/>
      <c r="N246" s="104"/>
      <c r="O246" s="105"/>
      <c r="P246" s="106"/>
    </row>
    <row r="247" spans="1:16" ht="13.2" customHeight="1" x14ac:dyDescent="0.25">
      <c r="B247" s="3"/>
      <c r="D247" s="15"/>
      <c r="J247" s="50"/>
      <c r="K247" s="51"/>
      <c r="L247" s="52"/>
      <c r="N247" s="104"/>
      <c r="O247" s="105"/>
      <c r="P247" s="106"/>
    </row>
    <row r="248" spans="1:16" ht="13.2" customHeight="1" x14ac:dyDescent="0.25">
      <c r="B248" s="17"/>
      <c r="D248" s="15"/>
      <c r="H248" s="19"/>
      <c r="J248" s="50"/>
      <c r="K248" s="51"/>
      <c r="L248" s="52"/>
      <c r="N248" s="104"/>
      <c r="O248" s="105"/>
      <c r="P248" s="106"/>
    </row>
    <row r="249" spans="1:16" x14ac:dyDescent="0.25">
      <c r="A249" s="138"/>
      <c r="B249" s="95"/>
      <c r="C249" s="96"/>
      <c r="D249" s="97"/>
      <c r="E249" s="96"/>
      <c r="F249" s="96"/>
      <c r="G249" s="98"/>
      <c r="H249" s="96"/>
      <c r="J249" s="50"/>
      <c r="K249" s="51"/>
      <c r="L249" s="52"/>
      <c r="N249" s="104"/>
      <c r="O249" s="105"/>
      <c r="P249" s="106"/>
    </row>
    <row r="268" spans="1:16" x14ac:dyDescent="0.25">
      <c r="A268" s="156"/>
      <c r="B268" s="95"/>
      <c r="C268" s="96"/>
      <c r="D268" s="97"/>
      <c r="E268" s="96"/>
      <c r="F268" s="96"/>
      <c r="G268" s="98"/>
      <c r="H268" s="96"/>
      <c r="J268" s="50"/>
      <c r="K268" s="51"/>
      <c r="L268" s="52"/>
      <c r="N268" s="104"/>
      <c r="O268" s="105"/>
      <c r="P268" s="106"/>
    </row>
    <row r="269" spans="1:16" s="19" customFormat="1" ht="13.2" customHeight="1" x14ac:dyDescent="0.25">
      <c r="A269" s="79">
        <v>45704</v>
      </c>
      <c r="B269" s="17" t="s">
        <v>316</v>
      </c>
      <c r="C269" s="19" t="s">
        <v>102</v>
      </c>
      <c r="D269" s="110"/>
      <c r="E269" s="3"/>
      <c r="F269" s="3"/>
      <c r="G269" s="5"/>
      <c r="H269" s="17"/>
      <c r="J269" s="46"/>
      <c r="K269" s="47"/>
      <c r="L269" s="52"/>
      <c r="N269" s="48"/>
      <c r="O269" s="27"/>
      <c r="P269" s="49"/>
    </row>
    <row r="270" spans="1:16" s="19" customFormat="1" ht="13.2" customHeight="1" x14ac:dyDescent="0.25">
      <c r="A270" s="129"/>
      <c r="B270" s="17" t="s">
        <v>135</v>
      </c>
      <c r="C270" s="3"/>
      <c r="D270" s="212"/>
      <c r="E270" s="3"/>
      <c r="F270" s="3"/>
      <c r="G270" s="5"/>
      <c r="H270" s="17"/>
      <c r="J270" s="46"/>
      <c r="K270" s="47"/>
      <c r="L270" s="52"/>
      <c r="N270" s="48"/>
      <c r="O270" s="27"/>
      <c r="P270" s="49"/>
    </row>
    <row r="271" spans="1:16" s="19" customFormat="1" ht="13.2" customHeight="1" x14ac:dyDescent="0.25">
      <c r="A271" s="129"/>
      <c r="B271" s="19" t="s">
        <v>287</v>
      </c>
      <c r="C271" s="3"/>
      <c r="D271" s="116"/>
      <c r="E271" s="3"/>
      <c r="F271" s="3"/>
      <c r="G271" s="5"/>
      <c r="H271" s="17"/>
      <c r="J271" s="46"/>
      <c r="K271" s="47"/>
      <c r="L271" s="52"/>
      <c r="N271" s="48"/>
      <c r="O271" s="27"/>
      <c r="P271" s="49"/>
    </row>
    <row r="272" spans="1:16" s="19" customFormat="1" ht="13.2" customHeight="1" x14ac:dyDescent="0.25">
      <c r="A272" s="129"/>
      <c r="B272" s="19" t="s">
        <v>354</v>
      </c>
      <c r="C272" s="3"/>
      <c r="D272" s="110"/>
      <c r="E272" s="3"/>
      <c r="F272" s="3"/>
      <c r="G272" s="5"/>
      <c r="H272" s="17"/>
      <c r="J272" s="46"/>
      <c r="K272" s="47"/>
      <c r="L272" s="52"/>
      <c r="N272" s="48"/>
      <c r="O272" s="27"/>
      <c r="P272" s="49"/>
    </row>
    <row r="273" spans="1:16" s="19" customFormat="1" ht="13.2" customHeight="1" x14ac:dyDescent="0.25">
      <c r="A273" s="129"/>
      <c r="B273" s="19" t="s">
        <v>355</v>
      </c>
      <c r="C273" s="3"/>
      <c r="D273" s="116"/>
      <c r="E273" s="3"/>
      <c r="F273" s="3"/>
      <c r="G273" s="5"/>
      <c r="J273" s="46"/>
      <c r="K273" s="47"/>
      <c r="L273" s="52"/>
      <c r="N273" s="48"/>
      <c r="O273" s="27"/>
      <c r="P273" s="49"/>
    </row>
    <row r="274" spans="1:16" x14ac:dyDescent="0.25">
      <c r="A274" s="156"/>
      <c r="B274" s="99"/>
      <c r="C274" s="96"/>
      <c r="D274" s="97"/>
      <c r="E274" s="96"/>
      <c r="F274" s="96"/>
      <c r="G274" s="98"/>
      <c r="H274" s="96"/>
      <c r="J274" s="50"/>
      <c r="K274" s="51"/>
      <c r="L274" s="52"/>
      <c r="N274" s="104"/>
      <c r="O274" s="105"/>
      <c r="P274" s="106"/>
    </row>
    <row r="283" spans="1:16" x14ac:dyDescent="0.25">
      <c r="A283" s="156"/>
      <c r="B283" s="99"/>
      <c r="C283" s="96"/>
      <c r="D283" s="97"/>
      <c r="E283" s="96"/>
      <c r="F283" s="96"/>
      <c r="G283" s="98"/>
      <c r="H283" s="96"/>
      <c r="J283" s="50"/>
      <c r="K283" s="51"/>
      <c r="L283" s="52"/>
      <c r="N283" s="104"/>
      <c r="O283" s="105"/>
      <c r="P283" s="106"/>
    </row>
    <row r="284" spans="1:16" x14ac:dyDescent="0.25">
      <c r="A284" s="79">
        <v>45725</v>
      </c>
      <c r="B284" s="17" t="s">
        <v>352</v>
      </c>
      <c r="C284" s="19" t="s">
        <v>106</v>
      </c>
      <c r="D284" s="110"/>
      <c r="H284" s="19"/>
      <c r="J284" s="50"/>
      <c r="K284" s="51"/>
      <c r="L284" s="52"/>
      <c r="N284" s="104"/>
      <c r="O284" s="105"/>
      <c r="P284" s="106"/>
    </row>
    <row r="285" spans="1:16" x14ac:dyDescent="0.25">
      <c r="A285" s="79"/>
      <c r="B285" s="17" t="s">
        <v>180</v>
      </c>
      <c r="C285" s="19"/>
      <c r="D285" s="34"/>
      <c r="E285" s="31"/>
      <c r="F285" s="31"/>
      <c r="G285" s="32"/>
      <c r="H285" s="31"/>
      <c r="J285" s="50"/>
      <c r="K285" s="51"/>
      <c r="L285" s="52"/>
      <c r="N285" s="104"/>
      <c r="O285" s="105"/>
      <c r="P285" s="106"/>
    </row>
    <row r="286" spans="1:16" x14ac:dyDescent="0.25">
      <c r="B286" s="19" t="s">
        <v>353</v>
      </c>
      <c r="C286" s="19"/>
      <c r="D286" s="15"/>
      <c r="H286" s="19"/>
      <c r="J286" s="50"/>
      <c r="K286" s="51"/>
      <c r="L286" s="52"/>
      <c r="N286" s="104"/>
      <c r="O286" s="105"/>
      <c r="P286" s="106"/>
    </row>
    <row r="287" spans="1:16" x14ac:dyDescent="0.25">
      <c r="B287" s="3"/>
      <c r="C287" s="19"/>
      <c r="D287" s="29"/>
      <c r="H287" s="19"/>
      <c r="J287" s="50"/>
      <c r="K287" s="51"/>
      <c r="L287" s="52"/>
      <c r="N287" s="104"/>
      <c r="O287" s="105"/>
      <c r="P287" s="106"/>
    </row>
    <row r="288" spans="1:16" x14ac:dyDescent="0.25">
      <c r="A288" s="138"/>
      <c r="B288" s="95"/>
      <c r="C288" s="96"/>
      <c r="D288" s="97"/>
      <c r="E288" s="96"/>
      <c r="F288" s="96"/>
      <c r="G288" s="98"/>
      <c r="H288" s="96"/>
      <c r="J288" s="50"/>
      <c r="K288" s="51"/>
      <c r="L288" s="52"/>
      <c r="N288" s="104"/>
      <c r="O288" s="105"/>
      <c r="P288" s="106"/>
    </row>
    <row r="289" spans="1:16" x14ac:dyDescent="0.25">
      <c r="A289" s="79">
        <v>45730</v>
      </c>
      <c r="B289" s="17" t="s">
        <v>181</v>
      </c>
      <c r="C289" s="3" t="s">
        <v>102</v>
      </c>
      <c r="D289" s="15"/>
      <c r="H289" s="19"/>
      <c r="J289" s="46"/>
      <c r="K289" s="47"/>
      <c r="L289" s="52"/>
      <c r="M289" s="19"/>
      <c r="N289" s="104"/>
      <c r="O289" s="105"/>
      <c r="P289" s="106"/>
    </row>
    <row r="290" spans="1:16" x14ac:dyDescent="0.25">
      <c r="A290" s="79"/>
      <c r="B290" s="17" t="s">
        <v>359</v>
      </c>
      <c r="D290" s="30"/>
      <c r="H290" s="19"/>
      <c r="J290" s="46"/>
      <c r="K290" s="47"/>
      <c r="L290" s="52"/>
      <c r="M290" s="19"/>
      <c r="N290" s="104"/>
      <c r="O290" s="105"/>
      <c r="P290" s="106"/>
    </row>
    <row r="291" spans="1:16" x14ac:dyDescent="0.25">
      <c r="A291" s="79"/>
      <c r="B291" s="19" t="s">
        <v>358</v>
      </c>
      <c r="D291" s="15"/>
      <c r="H291" s="19"/>
      <c r="J291" s="46"/>
      <c r="K291" s="47"/>
      <c r="L291" s="52"/>
      <c r="M291" s="19"/>
      <c r="N291" s="104"/>
      <c r="O291" s="105"/>
      <c r="P291" s="106"/>
    </row>
    <row r="292" spans="1:16" x14ac:dyDescent="0.25">
      <c r="A292" s="79"/>
      <c r="B292" s="128"/>
      <c r="D292" s="15"/>
      <c r="H292" s="19"/>
      <c r="J292" s="46"/>
      <c r="K292" s="47"/>
      <c r="L292" s="52"/>
      <c r="M292" s="19"/>
      <c r="N292" s="104"/>
      <c r="O292" s="105"/>
      <c r="P292" s="106"/>
    </row>
    <row r="293" spans="1:16" x14ac:dyDescent="0.25">
      <c r="A293" s="79"/>
      <c r="B293" s="128"/>
      <c r="D293" s="29"/>
      <c r="H293" s="19"/>
      <c r="J293" s="46"/>
      <c r="K293" s="47"/>
      <c r="L293" s="52"/>
      <c r="M293" s="19"/>
      <c r="N293" s="104"/>
      <c r="O293" s="105"/>
      <c r="P293" s="106"/>
    </row>
    <row r="294" spans="1:16" x14ac:dyDescent="0.25">
      <c r="A294" s="79"/>
      <c r="B294" s="17"/>
      <c r="D294" s="15"/>
      <c r="H294" s="19"/>
      <c r="J294" s="46"/>
      <c r="K294" s="47"/>
      <c r="L294" s="52"/>
      <c r="M294" s="19"/>
      <c r="N294" s="104"/>
      <c r="O294" s="105"/>
      <c r="P294" s="106"/>
    </row>
    <row r="295" spans="1:16" x14ac:dyDescent="0.25">
      <c r="A295" s="79"/>
      <c r="B295" s="128"/>
      <c r="D295" s="15"/>
      <c r="H295" s="19"/>
      <c r="J295" s="46"/>
      <c r="K295" s="47"/>
      <c r="L295" s="52"/>
      <c r="M295" s="19"/>
      <c r="N295" s="104"/>
      <c r="O295" s="105"/>
      <c r="P295" s="106"/>
    </row>
    <row r="296" spans="1:16" x14ac:dyDescent="0.25">
      <c r="A296" s="156"/>
      <c r="B296" s="95"/>
      <c r="C296" s="96"/>
      <c r="D296" s="97"/>
      <c r="E296" s="96"/>
      <c r="F296" s="96"/>
      <c r="G296" s="98"/>
      <c r="H296" s="96"/>
      <c r="J296" s="50"/>
      <c r="K296" s="51"/>
      <c r="L296" s="52"/>
      <c r="N296" s="104"/>
      <c r="O296" s="105"/>
      <c r="P296" s="106"/>
    </row>
    <row r="297" spans="1:16" x14ac:dyDescent="0.25">
      <c r="A297" s="79">
        <v>45731</v>
      </c>
      <c r="B297" s="17" t="s">
        <v>182</v>
      </c>
      <c r="C297" s="3" t="s">
        <v>102</v>
      </c>
      <c r="D297" s="30"/>
      <c r="H297" s="19"/>
      <c r="J297" s="46"/>
      <c r="K297" s="47"/>
      <c r="L297" s="52"/>
      <c r="M297" s="19"/>
      <c r="N297" s="104"/>
      <c r="O297" s="105"/>
      <c r="P297" s="106"/>
    </row>
    <row r="298" spans="1:16" x14ac:dyDescent="0.25">
      <c r="A298" s="79"/>
      <c r="B298" s="17" t="s">
        <v>360</v>
      </c>
      <c r="D298" s="15"/>
      <c r="J298" s="46"/>
      <c r="K298" s="47"/>
      <c r="L298" s="52"/>
      <c r="M298" s="19"/>
      <c r="N298" s="104"/>
      <c r="O298" s="105"/>
      <c r="P298" s="106"/>
    </row>
    <row r="299" spans="1:16" x14ac:dyDescent="0.25">
      <c r="A299" s="156"/>
      <c r="B299" s="95"/>
      <c r="C299" s="96"/>
      <c r="D299" s="97"/>
      <c r="E299" s="96"/>
      <c r="F299" s="96"/>
      <c r="G299" s="98"/>
      <c r="H299" s="96"/>
      <c r="J299" s="50"/>
      <c r="K299" s="51"/>
      <c r="L299" s="52"/>
      <c r="N299" s="104"/>
      <c r="O299" s="105"/>
      <c r="P299" s="106"/>
    </row>
    <row r="300" spans="1:16" x14ac:dyDescent="0.25">
      <c r="A300" s="79">
        <v>45732</v>
      </c>
      <c r="B300" s="17" t="s">
        <v>183</v>
      </c>
      <c r="C300" s="3" t="s">
        <v>102</v>
      </c>
      <c r="D300" s="15"/>
      <c r="H300" s="19"/>
      <c r="J300" s="50"/>
      <c r="K300" s="51"/>
      <c r="L300" s="52"/>
      <c r="N300" s="104"/>
      <c r="O300" s="105"/>
      <c r="P300" s="106"/>
    </row>
    <row r="301" spans="1:16" x14ac:dyDescent="0.25">
      <c r="A301" s="79"/>
      <c r="B301" s="17" t="s">
        <v>361</v>
      </c>
      <c r="D301" s="15"/>
      <c r="H301" s="19"/>
      <c r="J301" s="46"/>
      <c r="K301" s="47"/>
      <c r="L301" s="52"/>
      <c r="M301" s="19"/>
      <c r="N301" s="104"/>
      <c r="O301" s="105"/>
      <c r="P301" s="106"/>
    </row>
    <row r="302" spans="1:16" x14ac:dyDescent="0.25">
      <c r="A302" s="3"/>
      <c r="B302" s="3"/>
      <c r="D302" s="15"/>
      <c r="H302" s="19"/>
      <c r="J302" s="46"/>
      <c r="K302" s="47"/>
      <c r="L302" s="52"/>
      <c r="M302" s="19"/>
      <c r="N302" s="104"/>
      <c r="O302" s="105"/>
      <c r="P302" s="106"/>
    </row>
    <row r="303" spans="1:16" x14ac:dyDescent="0.25">
      <c r="A303" s="79"/>
      <c r="B303" s="207"/>
      <c r="D303" s="15"/>
      <c r="H303" s="19"/>
      <c r="J303" s="46"/>
      <c r="K303" s="47"/>
      <c r="L303" s="52"/>
      <c r="M303" s="19"/>
      <c r="N303" s="104"/>
      <c r="O303" s="105"/>
      <c r="P303" s="106"/>
    </row>
    <row r="304" spans="1:16" x14ac:dyDescent="0.25">
      <c r="A304" s="138"/>
      <c r="B304" s="95"/>
      <c r="C304" s="96"/>
      <c r="D304" s="97"/>
      <c r="E304" s="96"/>
      <c r="F304" s="96"/>
      <c r="G304" s="98"/>
      <c r="H304" s="96"/>
      <c r="J304" s="50"/>
      <c r="K304" s="51"/>
      <c r="L304" s="52"/>
      <c r="N304" s="104"/>
      <c r="O304" s="105"/>
      <c r="P304" s="106"/>
    </row>
    <row r="305" spans="1:16" x14ac:dyDescent="0.25">
      <c r="A305" s="79">
        <v>45732</v>
      </c>
      <c r="B305" s="17" t="s">
        <v>283</v>
      </c>
      <c r="C305" s="19" t="s">
        <v>284</v>
      </c>
      <c r="D305" s="110"/>
      <c r="J305" s="46"/>
      <c r="K305" s="47"/>
      <c r="L305" s="52"/>
      <c r="M305" s="19"/>
      <c r="N305" s="48"/>
      <c r="O305" s="105"/>
      <c r="P305" s="106"/>
    </row>
    <row r="306" spans="1:16" x14ac:dyDescent="0.25">
      <c r="A306" s="79"/>
      <c r="B306" s="17" t="s">
        <v>317</v>
      </c>
      <c r="C306" s="19"/>
      <c r="D306" s="29"/>
      <c r="H306" s="19"/>
      <c r="J306" s="46"/>
      <c r="K306" s="47"/>
      <c r="L306" s="52"/>
      <c r="M306" s="19"/>
      <c r="N306" s="48"/>
      <c r="O306" s="105"/>
      <c r="P306" s="106"/>
    </row>
    <row r="307" spans="1:16" x14ac:dyDescent="0.25">
      <c r="B307" s="19" t="s">
        <v>375</v>
      </c>
      <c r="D307" s="161"/>
      <c r="E307" s="31"/>
      <c r="F307" s="31"/>
      <c r="G307" s="32"/>
      <c r="H307" s="31"/>
      <c r="J307" s="46"/>
      <c r="K307" s="47"/>
      <c r="L307" s="52"/>
      <c r="M307" s="19"/>
      <c r="N307" s="48"/>
      <c r="O307" s="105"/>
      <c r="P307" s="106"/>
    </row>
    <row r="308" spans="1:16" x14ac:dyDescent="0.25">
      <c r="B308" s="17"/>
      <c r="D308" s="30"/>
      <c r="J308" s="46"/>
      <c r="K308" s="47"/>
      <c r="L308" s="52"/>
      <c r="M308" s="19"/>
      <c r="N308" s="104"/>
      <c r="O308" s="105"/>
      <c r="P308" s="106"/>
    </row>
    <row r="309" spans="1:16" x14ac:dyDescent="0.25">
      <c r="B309" s="17"/>
      <c r="D309" s="30"/>
      <c r="H309" s="19"/>
      <c r="J309" s="46"/>
      <c r="K309" s="47"/>
      <c r="L309" s="52"/>
      <c r="M309" s="19"/>
      <c r="N309" s="104"/>
      <c r="O309" s="105"/>
      <c r="P309" s="106"/>
    </row>
    <row r="310" spans="1:16" x14ac:dyDescent="0.25">
      <c r="B310" s="17"/>
      <c r="D310" s="34"/>
      <c r="E310" s="31"/>
      <c r="F310" s="31"/>
      <c r="G310" s="32"/>
      <c r="H310" s="31"/>
      <c r="J310" s="46"/>
      <c r="K310" s="47"/>
      <c r="L310" s="52"/>
      <c r="M310" s="19"/>
      <c r="N310" s="104"/>
      <c r="O310" s="105"/>
      <c r="P310" s="106"/>
    </row>
    <row r="311" spans="1:16" x14ac:dyDescent="0.25">
      <c r="B311" s="17"/>
      <c r="D311" s="15"/>
      <c r="J311" s="46"/>
      <c r="K311" s="47"/>
      <c r="L311" s="52"/>
      <c r="M311" s="19"/>
      <c r="N311" s="104"/>
      <c r="O311" s="105"/>
      <c r="P311" s="106"/>
    </row>
    <row r="312" spans="1:16" x14ac:dyDescent="0.25">
      <c r="B312" s="17"/>
      <c r="D312" s="110"/>
      <c r="H312" s="19"/>
      <c r="J312" s="46"/>
      <c r="K312" s="47"/>
      <c r="L312" s="52"/>
      <c r="M312" s="19"/>
      <c r="N312" s="104"/>
      <c r="O312" s="105"/>
      <c r="P312" s="106"/>
    </row>
    <row r="313" spans="1:16" x14ac:dyDescent="0.25">
      <c r="A313" s="3"/>
      <c r="B313" s="3"/>
      <c r="D313" s="34"/>
      <c r="E313" s="31"/>
      <c r="F313" s="31"/>
      <c r="G313" s="32"/>
      <c r="H313" s="31"/>
      <c r="J313" s="46"/>
      <c r="K313" s="47"/>
      <c r="L313" s="52"/>
      <c r="M313" s="19"/>
      <c r="N313" s="104"/>
      <c r="O313" s="105"/>
      <c r="P313" s="106"/>
    </row>
    <row r="314" spans="1:16" x14ac:dyDescent="0.25">
      <c r="B314" s="17"/>
      <c r="D314" s="30"/>
      <c r="H314" s="19"/>
      <c r="J314" s="46"/>
      <c r="K314" s="47"/>
      <c r="L314" s="52"/>
      <c r="M314" s="19"/>
      <c r="N314" s="104"/>
      <c r="O314" s="105"/>
      <c r="P314" s="106"/>
    </row>
    <row r="315" spans="1:16" x14ac:dyDescent="0.25">
      <c r="B315" s="17"/>
      <c r="D315" s="15"/>
      <c r="H315" s="19"/>
      <c r="J315" s="46"/>
      <c r="K315" s="47"/>
      <c r="L315" s="52"/>
      <c r="M315" s="19"/>
      <c r="N315" s="104"/>
      <c r="O315" s="105"/>
      <c r="P315" s="106"/>
    </row>
    <row r="316" spans="1:16" x14ac:dyDescent="0.25">
      <c r="B316" s="17"/>
      <c r="D316" s="204"/>
      <c r="E316" s="205"/>
      <c r="F316" s="205"/>
      <c r="G316" s="205"/>
      <c r="H316" s="206"/>
      <c r="J316" s="46"/>
      <c r="K316" s="47"/>
      <c r="L316" s="52"/>
      <c r="M316" s="19"/>
      <c r="N316" s="104"/>
      <c r="O316" s="105"/>
      <c r="P316" s="106"/>
    </row>
    <row r="317" spans="1:16" x14ac:dyDescent="0.25">
      <c r="B317" s="17"/>
      <c r="D317" s="214"/>
      <c r="J317" s="46"/>
      <c r="K317" s="47"/>
      <c r="L317" s="52"/>
      <c r="M317" s="19"/>
      <c r="N317" s="104"/>
      <c r="O317" s="105"/>
      <c r="P317" s="106"/>
    </row>
    <row r="318" spans="1:16" x14ac:dyDescent="0.25">
      <c r="B318" s="17"/>
      <c r="D318" s="29"/>
      <c r="H318" s="19"/>
      <c r="J318" s="46"/>
      <c r="K318" s="47"/>
      <c r="L318" s="52"/>
      <c r="M318" s="19"/>
      <c r="N318" s="104"/>
      <c r="O318" s="105"/>
      <c r="P318" s="106"/>
    </row>
    <row r="319" spans="1:16" x14ac:dyDescent="0.25">
      <c r="B319" s="17"/>
      <c r="D319" s="116"/>
      <c r="J319" s="46"/>
      <c r="K319" s="47"/>
      <c r="L319" s="52"/>
      <c r="M319" s="19"/>
      <c r="N319" s="104"/>
      <c r="O319" s="105"/>
      <c r="P319" s="106"/>
    </row>
    <row r="320" spans="1:16" x14ac:dyDescent="0.25">
      <c r="A320" s="138"/>
      <c r="B320" s="95"/>
      <c r="C320" s="96"/>
      <c r="D320" s="97"/>
      <c r="E320" s="96"/>
      <c r="F320" s="96"/>
      <c r="G320" s="98"/>
      <c r="H320" s="96"/>
      <c r="J320" s="50"/>
      <c r="K320" s="51"/>
      <c r="L320" s="52"/>
      <c r="N320" s="104"/>
      <c r="O320" s="105"/>
      <c r="P320" s="106"/>
    </row>
    <row r="321" spans="1:16" x14ac:dyDescent="0.25">
      <c r="A321" s="79">
        <v>45738</v>
      </c>
      <c r="B321" s="17" t="s">
        <v>356</v>
      </c>
      <c r="C321" s="19" t="s">
        <v>102</v>
      </c>
      <c r="D321" s="29"/>
      <c r="E321" s="19"/>
      <c r="F321" s="19"/>
      <c r="H321" s="19"/>
      <c r="J321" s="50"/>
      <c r="K321" s="47"/>
      <c r="L321" s="52"/>
      <c r="N321" s="48"/>
      <c r="O321" s="27"/>
      <c r="P321" s="49"/>
    </row>
    <row r="322" spans="1:16" x14ac:dyDescent="0.25">
      <c r="B322" s="17" t="s">
        <v>177</v>
      </c>
      <c r="C322" s="19"/>
      <c r="D322" s="15"/>
      <c r="E322" s="19"/>
      <c r="F322" s="19"/>
      <c r="H322" s="19"/>
      <c r="J322" s="50"/>
      <c r="K322" s="47"/>
      <c r="L322" s="52"/>
      <c r="N322" s="48"/>
      <c r="O322" s="27"/>
      <c r="P322" s="49"/>
    </row>
    <row r="323" spans="1:16" x14ac:dyDescent="0.25">
      <c r="B323" s="19" t="s">
        <v>364</v>
      </c>
      <c r="C323" s="19"/>
      <c r="D323" s="30"/>
      <c r="E323" s="19"/>
      <c r="F323" s="19"/>
      <c r="H323" s="19"/>
      <c r="J323" s="50"/>
      <c r="K323" s="51"/>
      <c r="L323" s="52"/>
      <c r="N323" s="48"/>
      <c r="O323" s="27"/>
      <c r="P323" s="49"/>
    </row>
    <row r="324" spans="1:16" x14ac:dyDescent="0.25">
      <c r="B324" s="128"/>
      <c r="C324" s="19"/>
      <c r="D324" s="15"/>
      <c r="E324" s="19"/>
      <c r="F324" s="19"/>
      <c r="H324" s="19"/>
      <c r="J324" s="50"/>
      <c r="K324" s="51"/>
      <c r="L324" s="52"/>
      <c r="N324" s="48"/>
      <c r="O324" s="27"/>
      <c r="P324" s="49"/>
    </row>
    <row r="325" spans="1:16" x14ac:dyDescent="0.25">
      <c r="B325" s="128"/>
      <c r="C325" s="19"/>
      <c r="D325" s="15"/>
      <c r="E325" s="19"/>
      <c r="F325" s="19"/>
      <c r="H325" s="19"/>
      <c r="J325" s="50"/>
      <c r="K325" s="51"/>
      <c r="L325" s="52"/>
      <c r="N325" s="48"/>
      <c r="O325" s="27"/>
      <c r="P325" s="49"/>
    </row>
    <row r="326" spans="1:16" x14ac:dyDescent="0.25">
      <c r="B326" s="128"/>
      <c r="C326" s="19"/>
      <c r="D326" s="15"/>
      <c r="E326" s="19"/>
      <c r="F326" s="19"/>
      <c r="H326" s="19"/>
      <c r="J326" s="50"/>
      <c r="K326" s="51"/>
      <c r="L326" s="52"/>
      <c r="N326" s="48"/>
      <c r="O326" s="27"/>
      <c r="P326" s="49"/>
    </row>
    <row r="327" spans="1:16" x14ac:dyDescent="0.25">
      <c r="B327" s="128"/>
      <c r="C327" s="19"/>
      <c r="D327" s="30"/>
      <c r="E327" s="19"/>
      <c r="F327" s="19"/>
      <c r="H327" s="19"/>
      <c r="J327" s="50"/>
      <c r="K327" s="51"/>
      <c r="L327" s="52"/>
      <c r="N327" s="48"/>
      <c r="O327" s="27"/>
      <c r="P327" s="49"/>
    </row>
    <row r="328" spans="1:16" x14ac:dyDescent="0.25">
      <c r="B328" s="128"/>
      <c r="C328" s="19"/>
      <c r="D328" s="15"/>
      <c r="E328" s="19"/>
      <c r="F328" s="19"/>
      <c r="H328" s="19"/>
      <c r="J328" s="50"/>
      <c r="K328" s="51"/>
      <c r="L328" s="52"/>
      <c r="N328" s="48"/>
      <c r="O328" s="27"/>
      <c r="P328" s="49"/>
    </row>
    <row r="329" spans="1:16" x14ac:dyDescent="0.25">
      <c r="B329" s="128"/>
      <c r="C329" s="19"/>
      <c r="D329" s="15"/>
      <c r="E329" s="19"/>
      <c r="F329" s="19"/>
      <c r="H329" s="19"/>
      <c r="J329" s="50"/>
      <c r="K329" s="51"/>
      <c r="L329" s="52"/>
      <c r="N329" s="48"/>
      <c r="O329" s="27"/>
      <c r="P329" s="49"/>
    </row>
    <row r="330" spans="1:16" x14ac:dyDescent="0.25">
      <c r="B330" s="128"/>
      <c r="C330" s="19"/>
      <c r="D330" s="34"/>
      <c r="E330" s="33"/>
      <c r="F330" s="33"/>
      <c r="G330" s="32"/>
      <c r="H330" s="33"/>
      <c r="J330" s="50"/>
      <c r="K330" s="51"/>
      <c r="L330" s="52"/>
      <c r="N330" s="48"/>
      <c r="O330" s="27"/>
      <c r="P330" s="49"/>
    </row>
    <row r="331" spans="1:16" x14ac:dyDescent="0.25">
      <c r="B331" s="128"/>
      <c r="C331" s="19"/>
      <c r="D331" s="15"/>
      <c r="E331" s="19"/>
      <c r="F331" s="19"/>
      <c r="H331" s="19"/>
      <c r="J331" s="50"/>
      <c r="K331" s="51"/>
      <c r="L331" s="52"/>
      <c r="N331" s="48"/>
      <c r="O331" s="27"/>
      <c r="P331" s="49"/>
    </row>
    <row r="332" spans="1:16" x14ac:dyDescent="0.25">
      <c r="B332" s="128"/>
      <c r="C332" s="19"/>
      <c r="D332" s="30"/>
      <c r="E332" s="19"/>
      <c r="F332" s="19"/>
      <c r="H332" s="19"/>
      <c r="J332" s="50"/>
      <c r="K332" s="51"/>
      <c r="L332" s="52"/>
      <c r="N332" s="48"/>
      <c r="O332" s="27"/>
      <c r="P332" s="49"/>
    </row>
    <row r="333" spans="1:16" x14ac:dyDescent="0.25">
      <c r="B333" s="128"/>
      <c r="C333" s="19"/>
      <c r="D333" s="15"/>
      <c r="E333" s="19"/>
      <c r="F333" s="19"/>
      <c r="H333" s="19"/>
      <c r="J333" s="50"/>
      <c r="K333" s="51"/>
      <c r="L333" s="52"/>
      <c r="N333" s="48"/>
      <c r="O333" s="27"/>
      <c r="P333" s="49"/>
    </row>
    <row r="334" spans="1:16" x14ac:dyDescent="0.25">
      <c r="B334" s="128"/>
      <c r="C334" s="19"/>
      <c r="D334" s="29"/>
      <c r="E334" s="19"/>
      <c r="F334" s="19"/>
      <c r="H334" s="19"/>
      <c r="J334" s="50"/>
      <c r="K334" s="51"/>
      <c r="L334" s="52"/>
      <c r="N334" s="48"/>
      <c r="O334" s="27"/>
      <c r="P334" s="49"/>
    </row>
    <row r="335" spans="1:16" x14ac:dyDescent="0.25">
      <c r="B335" s="128"/>
      <c r="C335" s="19"/>
      <c r="D335" s="15"/>
      <c r="E335" s="19"/>
      <c r="F335" s="19"/>
      <c r="H335" s="19"/>
      <c r="J335" s="50"/>
      <c r="K335" s="51"/>
      <c r="L335" s="52"/>
      <c r="N335" s="48"/>
      <c r="O335" s="27"/>
      <c r="P335" s="49"/>
    </row>
    <row r="336" spans="1:16" x14ac:dyDescent="0.25">
      <c r="B336" s="128"/>
      <c r="C336" s="19"/>
      <c r="D336" s="15"/>
      <c r="E336" s="19"/>
      <c r="F336" s="19"/>
      <c r="H336" s="19"/>
      <c r="J336" s="50"/>
      <c r="K336" s="51"/>
      <c r="L336" s="52"/>
      <c r="N336" s="48"/>
      <c r="O336" s="27"/>
      <c r="P336" s="49"/>
    </row>
    <row r="337" spans="1:16" s="19" customFormat="1" x14ac:dyDescent="0.25">
      <c r="A337" s="138"/>
      <c r="B337" s="95"/>
      <c r="C337" s="96"/>
      <c r="D337" s="97"/>
      <c r="E337" s="96"/>
      <c r="F337" s="96"/>
      <c r="G337" s="98"/>
      <c r="H337" s="96"/>
      <c r="J337" s="46"/>
      <c r="K337" s="47"/>
      <c r="L337" s="52"/>
      <c r="N337" s="104"/>
      <c r="O337" s="105"/>
      <c r="P337" s="106"/>
    </row>
    <row r="338" spans="1:16" x14ac:dyDescent="0.25">
      <c r="A338" s="79">
        <v>45738</v>
      </c>
      <c r="B338" s="17" t="s">
        <v>329</v>
      </c>
      <c r="C338" s="3" t="s">
        <v>102</v>
      </c>
      <c r="D338" s="110"/>
      <c r="H338" s="19"/>
      <c r="J338" s="50"/>
      <c r="K338" s="51"/>
      <c r="L338" s="52"/>
      <c r="N338" s="104"/>
      <c r="O338" s="105"/>
      <c r="P338" s="106"/>
    </row>
    <row r="339" spans="1:16" x14ac:dyDescent="0.25">
      <c r="B339" s="17" t="s">
        <v>365</v>
      </c>
      <c r="D339" s="15"/>
      <c r="H339" s="19"/>
      <c r="J339" s="50"/>
      <c r="K339" s="51"/>
      <c r="L339" s="52"/>
      <c r="N339" s="104"/>
      <c r="O339" s="105"/>
      <c r="P339" s="106"/>
    </row>
    <row r="340" spans="1:16" s="19" customFormat="1" x14ac:dyDescent="0.25">
      <c r="A340" s="138"/>
      <c r="B340" s="95"/>
      <c r="C340" s="96"/>
      <c r="D340" s="97"/>
      <c r="E340" s="96"/>
      <c r="F340" s="96"/>
      <c r="G340" s="98"/>
      <c r="H340" s="96"/>
      <c r="J340" s="50"/>
      <c r="K340" s="51"/>
      <c r="L340" s="52"/>
      <c r="M340" s="3"/>
      <c r="N340" s="48"/>
      <c r="O340" s="27"/>
      <c r="P340" s="49"/>
    </row>
    <row r="341" spans="1:16" x14ac:dyDescent="0.25">
      <c r="A341" s="79">
        <v>45746</v>
      </c>
      <c r="B341" s="17" t="s">
        <v>319</v>
      </c>
      <c r="C341" s="19" t="s">
        <v>198</v>
      </c>
      <c r="D341" s="15"/>
      <c r="E341" s="19"/>
      <c r="F341" s="19"/>
      <c r="H341" s="19"/>
      <c r="J341" s="50"/>
      <c r="K341" s="51"/>
      <c r="L341" s="52"/>
      <c r="N341" s="104"/>
      <c r="O341" s="105"/>
      <c r="P341" s="106"/>
    </row>
    <row r="342" spans="1:16" x14ac:dyDescent="0.25">
      <c r="B342" s="17" t="s">
        <v>367</v>
      </c>
      <c r="C342" s="19"/>
      <c r="D342" s="81"/>
      <c r="E342" s="33"/>
      <c r="F342" s="33"/>
      <c r="G342" s="32"/>
      <c r="H342" s="33"/>
      <c r="J342" s="50"/>
      <c r="K342" s="51"/>
      <c r="L342" s="52"/>
      <c r="N342" s="104"/>
      <c r="O342" s="105"/>
      <c r="P342" s="106"/>
    </row>
    <row r="343" spans="1:16" x14ac:dyDescent="0.25">
      <c r="B343" s="17" t="s">
        <v>368</v>
      </c>
      <c r="C343" s="19"/>
      <c r="D343" s="29"/>
      <c r="E343" s="19"/>
      <c r="F343" s="19"/>
      <c r="H343" s="19"/>
      <c r="J343" s="50"/>
      <c r="K343" s="51"/>
      <c r="L343" s="52"/>
      <c r="N343" s="104"/>
      <c r="O343" s="105"/>
      <c r="P343" s="106"/>
    </row>
    <row r="344" spans="1:16" x14ac:dyDescent="0.25">
      <c r="B344" s="207"/>
      <c r="C344" s="19"/>
      <c r="D344" s="34"/>
      <c r="E344" s="33"/>
      <c r="F344" s="33"/>
      <c r="G344" s="32"/>
      <c r="H344" s="33"/>
      <c r="J344" s="50"/>
      <c r="K344" s="51"/>
      <c r="L344" s="52"/>
      <c r="N344" s="104"/>
      <c r="O344" s="105"/>
      <c r="P344" s="106"/>
    </row>
    <row r="345" spans="1:16" x14ac:dyDescent="0.25">
      <c r="B345" s="207"/>
      <c r="C345" s="19"/>
      <c r="D345" s="15"/>
      <c r="E345" s="19"/>
      <c r="F345" s="19"/>
      <c r="H345" s="19"/>
      <c r="J345" s="50"/>
      <c r="K345" s="51"/>
      <c r="L345" s="52"/>
      <c r="N345" s="104"/>
      <c r="O345" s="105"/>
      <c r="P345" s="106"/>
    </row>
    <row r="346" spans="1:16" x14ac:dyDescent="0.25">
      <c r="B346" s="207"/>
      <c r="C346" s="19"/>
      <c r="D346" s="30"/>
      <c r="E346" s="19"/>
      <c r="F346" s="19"/>
      <c r="H346" s="19"/>
      <c r="J346" s="50"/>
      <c r="K346" s="51"/>
      <c r="L346" s="52"/>
      <c r="N346" s="104"/>
      <c r="O346" s="105"/>
      <c r="P346" s="106"/>
    </row>
    <row r="347" spans="1:16" x14ac:dyDescent="0.25">
      <c r="A347" s="138"/>
      <c r="B347" s="95"/>
      <c r="C347" s="96"/>
      <c r="D347" s="97"/>
      <c r="E347" s="96"/>
      <c r="F347" s="96"/>
      <c r="G347" s="98"/>
      <c r="H347" s="96"/>
      <c r="J347" s="50"/>
      <c r="K347" s="51"/>
      <c r="L347" s="52"/>
      <c r="N347" s="104"/>
      <c r="O347" s="105"/>
      <c r="P347" s="106"/>
    </row>
    <row r="348" spans="1:16" x14ac:dyDescent="0.25">
      <c r="A348" s="79">
        <v>45753</v>
      </c>
      <c r="B348" s="17" t="s">
        <v>290</v>
      </c>
      <c r="C348" s="19" t="s">
        <v>285</v>
      </c>
      <c r="D348" s="29"/>
      <c r="H348" s="19"/>
      <c r="J348" s="50"/>
      <c r="K348" s="51"/>
      <c r="L348" s="52"/>
      <c r="N348" s="104"/>
      <c r="O348" s="105"/>
      <c r="P348" s="106"/>
    </row>
    <row r="349" spans="1:16" x14ac:dyDescent="0.25">
      <c r="B349" s="19" t="s">
        <v>366</v>
      </c>
      <c r="D349" s="15"/>
      <c r="H349" s="19"/>
      <c r="J349" s="50"/>
      <c r="K349" s="51"/>
      <c r="L349" s="52"/>
      <c r="N349" s="104"/>
      <c r="O349" s="105"/>
      <c r="P349" s="106"/>
    </row>
    <row r="350" spans="1:16" x14ac:dyDescent="0.25">
      <c r="B350" s="17"/>
      <c r="D350" s="34"/>
      <c r="E350" s="31"/>
      <c r="F350" s="31"/>
      <c r="G350" s="32"/>
      <c r="H350" s="33"/>
      <c r="J350" s="50"/>
      <c r="K350" s="51"/>
      <c r="L350" s="52"/>
      <c r="N350" s="104"/>
      <c r="O350" s="105"/>
      <c r="P350" s="106"/>
    </row>
    <row r="351" spans="1:16" x14ac:dyDescent="0.25">
      <c r="A351" s="3"/>
      <c r="B351" s="3"/>
      <c r="D351" s="15"/>
      <c r="H351" s="19"/>
      <c r="J351" s="50"/>
      <c r="K351" s="47"/>
      <c r="L351" s="52"/>
      <c r="N351" s="104"/>
      <c r="O351" s="27"/>
      <c r="P351" s="106"/>
    </row>
    <row r="352" spans="1:16" x14ac:dyDescent="0.25">
      <c r="A352" s="3"/>
      <c r="B352" s="3"/>
      <c r="D352" s="30"/>
      <c r="H352" s="19"/>
      <c r="J352" s="46"/>
      <c r="K352" s="51"/>
      <c r="L352" s="52"/>
      <c r="N352" s="104"/>
      <c r="O352" s="27"/>
      <c r="P352" s="106"/>
    </row>
    <row r="353" spans="1:16" x14ac:dyDescent="0.25">
      <c r="A353" s="3"/>
      <c r="B353" s="3"/>
      <c r="D353" s="81"/>
      <c r="E353" s="31"/>
      <c r="F353" s="31"/>
      <c r="G353" s="32"/>
      <c r="H353" s="33"/>
      <c r="J353" s="50"/>
      <c r="K353" s="47"/>
      <c r="L353" s="52"/>
      <c r="N353" s="104"/>
      <c r="O353" s="27"/>
      <c r="P353" s="106"/>
    </row>
    <row r="354" spans="1:16" x14ac:dyDescent="0.25">
      <c r="B354" s="17"/>
      <c r="D354" s="15"/>
      <c r="H354" s="19"/>
      <c r="J354" s="50"/>
      <c r="K354" s="51"/>
      <c r="L354" s="52"/>
      <c r="N354" s="104"/>
      <c r="O354" s="105"/>
      <c r="P354" s="106"/>
    </row>
    <row r="355" spans="1:16" x14ac:dyDescent="0.25">
      <c r="B355" s="17"/>
      <c r="D355" s="15"/>
      <c r="H355" s="19"/>
      <c r="J355" s="50"/>
      <c r="K355" s="51"/>
      <c r="L355" s="52"/>
      <c r="N355" s="104"/>
      <c r="O355" s="105"/>
      <c r="P355" s="106"/>
    </row>
    <row r="356" spans="1:16" x14ac:dyDescent="0.25">
      <c r="B356" s="17"/>
      <c r="D356" s="161"/>
      <c r="E356" s="31"/>
      <c r="F356" s="31"/>
      <c r="G356" s="32"/>
      <c r="H356" s="33"/>
      <c r="J356" s="50"/>
      <c r="K356" s="51"/>
      <c r="L356" s="52"/>
      <c r="N356" s="104"/>
      <c r="O356" s="105"/>
      <c r="P356" s="106"/>
    </row>
    <row r="357" spans="1:16" x14ac:dyDescent="0.25">
      <c r="B357" s="17"/>
      <c r="D357" s="15"/>
      <c r="H357" s="19"/>
      <c r="J357" s="50"/>
      <c r="K357" s="51"/>
      <c r="L357" s="52"/>
      <c r="N357" s="104"/>
      <c r="O357" s="105"/>
      <c r="P357" s="106"/>
    </row>
    <row r="358" spans="1:16" x14ac:dyDescent="0.25">
      <c r="B358" s="17"/>
      <c r="D358" s="15"/>
      <c r="H358" s="19"/>
      <c r="J358" s="50"/>
      <c r="K358" s="51"/>
      <c r="L358" s="52"/>
      <c r="N358" s="104"/>
      <c r="O358" s="105"/>
      <c r="P358" s="106"/>
    </row>
    <row r="359" spans="1:16" x14ac:dyDescent="0.25">
      <c r="B359" s="17"/>
      <c r="D359" s="15"/>
      <c r="H359" s="19"/>
      <c r="J359" s="50"/>
      <c r="K359" s="51"/>
      <c r="L359" s="52"/>
      <c r="N359" s="104"/>
      <c r="O359" s="105"/>
      <c r="P359" s="106"/>
    </row>
    <row r="360" spans="1:16" x14ac:dyDescent="0.25">
      <c r="A360" s="138"/>
      <c r="B360" s="95"/>
      <c r="C360" s="96"/>
      <c r="D360" s="97"/>
      <c r="E360" s="96"/>
      <c r="F360" s="96"/>
      <c r="G360" s="98"/>
      <c r="H360" s="96"/>
      <c r="J360" s="50"/>
      <c r="K360" s="51"/>
      <c r="L360" s="52"/>
      <c r="N360" s="104"/>
      <c r="O360" s="105"/>
      <c r="P360" s="106"/>
    </row>
    <row r="361" spans="1:16" s="19" customFormat="1" ht="13.2" customHeight="1" x14ac:dyDescent="0.25">
      <c r="A361" s="79">
        <v>45753</v>
      </c>
      <c r="B361" s="17" t="s">
        <v>318</v>
      </c>
      <c r="C361" s="19" t="s">
        <v>102</v>
      </c>
      <c r="D361" s="110"/>
      <c r="E361" s="3"/>
      <c r="F361" s="3"/>
      <c r="G361" s="5"/>
      <c r="H361" s="17"/>
      <c r="J361" s="46"/>
      <c r="K361" s="47"/>
      <c r="L361" s="52"/>
      <c r="N361" s="48"/>
      <c r="O361" s="27"/>
      <c r="P361" s="49"/>
    </row>
    <row r="362" spans="1:16" s="19" customFormat="1" ht="13.2" customHeight="1" x14ac:dyDescent="0.25">
      <c r="A362" s="129"/>
      <c r="B362" s="17" t="s">
        <v>135</v>
      </c>
      <c r="C362" s="3"/>
      <c r="D362" s="212"/>
      <c r="E362" s="3"/>
      <c r="F362" s="3"/>
      <c r="G362" s="5"/>
      <c r="H362" s="17"/>
      <c r="J362" s="46"/>
      <c r="K362" s="47"/>
      <c r="L362" s="52"/>
      <c r="N362" s="48"/>
      <c r="O362" s="27"/>
      <c r="P362" s="49"/>
    </row>
    <row r="363" spans="1:16" s="19" customFormat="1" ht="13.2" customHeight="1" x14ac:dyDescent="0.25">
      <c r="A363" s="129"/>
      <c r="B363" s="19" t="s">
        <v>369</v>
      </c>
      <c r="D363" s="116"/>
      <c r="E363" s="3"/>
      <c r="F363" s="3"/>
      <c r="G363" s="5"/>
      <c r="J363" s="46"/>
      <c r="K363" s="47"/>
      <c r="L363" s="52"/>
      <c r="N363" s="48"/>
      <c r="O363" s="27"/>
      <c r="P363" s="49"/>
    </row>
    <row r="364" spans="1:16" s="19" customFormat="1" ht="13.2" customHeight="1" x14ac:dyDescent="0.25">
      <c r="A364" s="129"/>
      <c r="B364" s="19" t="s">
        <v>372</v>
      </c>
      <c r="C364" s="3"/>
      <c r="D364" s="110"/>
      <c r="E364" s="3"/>
      <c r="F364" s="3"/>
      <c r="G364" s="5"/>
      <c r="H364" s="17"/>
      <c r="J364" s="46"/>
      <c r="K364" s="47"/>
      <c r="L364" s="52"/>
      <c r="N364" s="48"/>
      <c r="O364" s="27"/>
      <c r="P364" s="49"/>
    </row>
    <row r="365" spans="1:16" s="19" customFormat="1" ht="13.2" customHeight="1" x14ac:dyDescent="0.25">
      <c r="A365" s="129"/>
      <c r="B365" s="19" t="s">
        <v>370</v>
      </c>
      <c r="C365" s="3"/>
      <c r="D365" s="116"/>
      <c r="G365" s="5"/>
      <c r="H365" s="17"/>
      <c r="J365" s="46"/>
      <c r="K365" s="47"/>
      <c r="L365" s="52"/>
      <c r="N365" s="48"/>
      <c r="O365" s="27"/>
      <c r="P365" s="49"/>
    </row>
    <row r="366" spans="1:16" s="19" customFormat="1" ht="13.2" customHeight="1" x14ac:dyDescent="0.25">
      <c r="A366" s="129"/>
      <c r="B366" s="19" t="s">
        <v>371</v>
      </c>
      <c r="C366" s="3"/>
      <c r="D366" s="110"/>
      <c r="E366" s="3"/>
      <c r="F366" s="3"/>
      <c r="G366" s="5"/>
      <c r="H366" s="17"/>
      <c r="J366" s="46"/>
      <c r="K366" s="47"/>
      <c r="L366" s="52"/>
      <c r="N366" s="48"/>
      <c r="O366" s="27"/>
      <c r="P366" s="49"/>
    </row>
    <row r="367" spans="1:16" s="19" customFormat="1" x14ac:dyDescent="0.25">
      <c r="A367" s="138"/>
      <c r="B367" s="95"/>
      <c r="C367" s="96"/>
      <c r="D367" s="97"/>
      <c r="E367" s="96"/>
      <c r="F367" s="96"/>
      <c r="G367" s="98"/>
      <c r="H367" s="96"/>
      <c r="J367" s="46"/>
      <c r="K367" s="47"/>
      <c r="L367" s="52"/>
      <c r="N367" s="48"/>
      <c r="O367" s="27"/>
      <c r="P367" s="49"/>
    </row>
    <row r="368" spans="1:16" s="19" customFormat="1" x14ac:dyDescent="0.25">
      <c r="A368" s="79">
        <v>45781</v>
      </c>
      <c r="B368" s="17" t="s">
        <v>286</v>
      </c>
      <c r="C368" s="19" t="s">
        <v>102</v>
      </c>
      <c r="D368" s="110"/>
      <c r="E368" s="3"/>
      <c r="F368" s="3"/>
      <c r="G368" s="5"/>
      <c r="H368" s="17"/>
      <c r="J368" s="46"/>
      <c r="K368" s="47"/>
      <c r="L368" s="52"/>
      <c r="N368" s="48"/>
      <c r="O368" s="27"/>
      <c r="P368" s="49"/>
    </row>
    <row r="369" spans="1:16" s="19" customFormat="1" x14ac:dyDescent="0.25">
      <c r="A369" s="129"/>
      <c r="B369" s="17" t="s">
        <v>180</v>
      </c>
      <c r="D369" s="212"/>
      <c r="E369" s="3"/>
      <c r="F369" s="3"/>
      <c r="G369" s="5"/>
      <c r="J369" s="46"/>
      <c r="K369" s="47"/>
      <c r="L369" s="52"/>
      <c r="N369" s="48"/>
      <c r="O369" s="27"/>
      <c r="P369" s="49"/>
    </row>
    <row r="370" spans="1:16" s="19" customFormat="1" x14ac:dyDescent="0.25">
      <c r="A370" s="129"/>
      <c r="B370" s="19" t="s">
        <v>287</v>
      </c>
      <c r="C370" s="3"/>
      <c r="D370" s="110"/>
      <c r="E370" s="3"/>
      <c r="F370" s="3"/>
      <c r="G370" s="5"/>
      <c r="J370" s="46"/>
      <c r="K370" s="47"/>
      <c r="L370" s="52"/>
      <c r="N370" s="48"/>
      <c r="O370" s="27"/>
      <c r="P370" s="49"/>
    </row>
    <row r="371" spans="1:16" s="19" customFormat="1" x14ac:dyDescent="0.25">
      <c r="A371" s="129"/>
      <c r="B371" s="19" t="s">
        <v>380</v>
      </c>
      <c r="C371" s="3"/>
      <c r="D371" s="116"/>
      <c r="F371" s="3"/>
      <c r="G371" s="5"/>
      <c r="J371" s="46"/>
      <c r="K371" s="47"/>
      <c r="L371" s="52"/>
      <c r="N371" s="48"/>
      <c r="O371" s="27"/>
      <c r="P371" s="49"/>
    </row>
    <row r="372" spans="1:16" s="19" customFormat="1" x14ac:dyDescent="0.25">
      <c r="A372" s="129"/>
      <c r="B372" s="19" t="s">
        <v>355</v>
      </c>
      <c r="C372" s="3"/>
      <c r="D372" s="110"/>
      <c r="E372" s="3"/>
      <c r="G372" s="5"/>
      <c r="H372" s="17"/>
      <c r="J372" s="46"/>
      <c r="K372" s="47"/>
      <c r="L372" s="52"/>
      <c r="N372" s="48"/>
      <c r="O372" s="27"/>
      <c r="P372" s="49"/>
    </row>
    <row r="373" spans="1:16" x14ac:dyDescent="0.25">
      <c r="A373" s="138"/>
      <c r="B373" s="95"/>
      <c r="C373" s="96"/>
      <c r="D373" s="97"/>
      <c r="E373" s="96"/>
      <c r="F373" s="96"/>
      <c r="G373" s="98"/>
      <c r="H373" s="96"/>
      <c r="J373" s="50"/>
      <c r="K373" s="51"/>
      <c r="L373" s="52"/>
      <c r="N373" s="104"/>
      <c r="O373" s="105"/>
      <c r="P373" s="106"/>
    </row>
    <row r="374" spans="1:16" x14ac:dyDescent="0.25">
      <c r="A374" s="79" t="s">
        <v>675</v>
      </c>
      <c r="B374" s="17" t="s">
        <v>665</v>
      </c>
      <c r="C374" s="3" t="s">
        <v>108</v>
      </c>
      <c r="D374" s="30" t="s">
        <v>122</v>
      </c>
      <c r="G374" s="5" t="e">
        <f t="shared" ref="G374:G376" si="20">E374/F374</f>
        <v>#DIV/0!</v>
      </c>
      <c r="J374" s="50"/>
      <c r="K374" s="51"/>
      <c r="L374" s="52"/>
      <c r="N374" s="104"/>
      <c r="O374" s="105"/>
      <c r="P374" s="106"/>
    </row>
    <row r="375" spans="1:16" ht="13.2" customHeight="1" x14ac:dyDescent="0.25">
      <c r="A375" s="79" t="s">
        <v>348</v>
      </c>
      <c r="B375" s="17" t="s">
        <v>676</v>
      </c>
      <c r="D375" s="15" t="s">
        <v>120</v>
      </c>
      <c r="G375" s="5" t="e">
        <f t="shared" si="20"/>
        <v>#DIV/0!</v>
      </c>
      <c r="H375" s="160"/>
      <c r="J375" s="50"/>
      <c r="K375" s="51"/>
      <c r="L375" s="52"/>
      <c r="N375" s="104"/>
      <c r="O375" s="105"/>
      <c r="P375" s="106"/>
    </row>
    <row r="376" spans="1:16" ht="13.2" customHeight="1" x14ac:dyDescent="0.25">
      <c r="B376" s="19" t="s">
        <v>315</v>
      </c>
      <c r="D376" s="15" t="s">
        <v>328</v>
      </c>
      <c r="G376" s="5" t="e">
        <f t="shared" si="20"/>
        <v>#DIV/0!</v>
      </c>
      <c r="H376" s="19" t="s">
        <v>640</v>
      </c>
      <c r="J376" s="50"/>
      <c r="K376" s="51"/>
      <c r="L376" s="52"/>
      <c r="N376" s="104"/>
      <c r="O376" s="105"/>
      <c r="P376" s="106"/>
    </row>
    <row r="377" spans="1:16" x14ac:dyDescent="0.25">
      <c r="B377" s="17"/>
      <c r="D377" s="15" t="s">
        <v>219</v>
      </c>
      <c r="G377" s="5" t="e">
        <f>E377/F377</f>
        <v>#DIV/0!</v>
      </c>
      <c r="J377" s="50"/>
      <c r="K377" s="51"/>
      <c r="L377" s="52"/>
      <c r="N377" s="104"/>
      <c r="O377" s="105"/>
      <c r="P377" s="106"/>
    </row>
    <row r="378" spans="1:16" x14ac:dyDescent="0.25">
      <c r="B378" s="17"/>
      <c r="D378" s="30" t="s">
        <v>114</v>
      </c>
      <c r="G378" s="5" t="e">
        <f>E378/F378</f>
        <v>#DIV/0!</v>
      </c>
      <c r="J378" s="50"/>
      <c r="K378" s="51"/>
      <c r="L378" s="52"/>
      <c r="N378" s="104"/>
      <c r="O378" s="105"/>
      <c r="P378" s="106"/>
    </row>
    <row r="379" spans="1:16" x14ac:dyDescent="0.25">
      <c r="A379" s="3"/>
      <c r="B379" s="3"/>
      <c r="D379" s="29" t="s">
        <v>416</v>
      </c>
      <c r="G379" s="5" t="e">
        <f t="shared" ref="G379" si="21">E379/F379</f>
        <v>#DIV/0!</v>
      </c>
      <c r="J379" s="50"/>
      <c r="K379" s="51"/>
      <c r="L379" s="52"/>
      <c r="N379" s="104"/>
      <c r="O379" s="105"/>
      <c r="P379" s="106"/>
    </row>
    <row r="380" spans="1:16" x14ac:dyDescent="0.25">
      <c r="A380" s="138"/>
      <c r="B380" s="99"/>
      <c r="C380" s="96"/>
      <c r="D380" s="97"/>
      <c r="E380" s="96"/>
      <c r="F380" s="96"/>
      <c r="G380" s="98"/>
      <c r="H380" s="96"/>
      <c r="J380" s="50"/>
      <c r="K380" s="51"/>
      <c r="L380" s="52"/>
      <c r="N380" s="104"/>
      <c r="O380" s="105"/>
      <c r="P380" s="106"/>
    </row>
    <row r="381" spans="1:16" x14ac:dyDescent="0.25">
      <c r="A381" s="79">
        <v>46180</v>
      </c>
      <c r="B381" s="17" t="s">
        <v>338</v>
      </c>
      <c r="C381" s="19" t="s">
        <v>108</v>
      </c>
      <c r="D381" s="110" t="s">
        <v>230</v>
      </c>
      <c r="G381" s="5" t="e">
        <f t="shared" ref="G381" si="22">E381/F381</f>
        <v>#DIV/0!</v>
      </c>
      <c r="H381" s="160"/>
      <c r="J381" s="50"/>
      <c r="K381" s="51"/>
      <c r="L381" s="52"/>
      <c r="N381" s="104"/>
      <c r="O381" s="105"/>
      <c r="P381" s="106"/>
    </row>
    <row r="382" spans="1:16" ht="13.2" customHeight="1" x14ac:dyDescent="0.25">
      <c r="A382" s="79" t="s">
        <v>227</v>
      </c>
      <c r="B382" s="17" t="s">
        <v>676</v>
      </c>
      <c r="D382" s="29" t="s">
        <v>130</v>
      </c>
      <c r="G382" s="5" t="e">
        <f>E382/F382</f>
        <v>#DIV/0!</v>
      </c>
      <c r="H382" s="19"/>
      <c r="J382" s="50"/>
      <c r="K382" s="51"/>
      <c r="L382" s="52"/>
      <c r="N382" s="104"/>
      <c r="O382" s="105"/>
      <c r="P382" s="106"/>
    </row>
    <row r="383" spans="1:16" ht="12.75" customHeight="1" x14ac:dyDescent="0.25">
      <c r="B383" s="19" t="s">
        <v>281</v>
      </c>
      <c r="D383" s="29" t="s">
        <v>223</v>
      </c>
      <c r="G383" s="5" t="e">
        <f t="shared" ref="G383:G384" si="23">E383/F383</f>
        <v>#DIV/0!</v>
      </c>
      <c r="H383" s="19" t="s">
        <v>660</v>
      </c>
      <c r="J383" s="50"/>
      <c r="K383" s="51"/>
      <c r="L383" s="52"/>
      <c r="N383" s="104"/>
      <c r="O383" s="105"/>
      <c r="P383" s="106"/>
    </row>
    <row r="384" spans="1:16" ht="12.75" customHeight="1" x14ac:dyDescent="0.25">
      <c r="B384" s="128"/>
      <c r="D384" s="30" t="s">
        <v>262</v>
      </c>
      <c r="G384" s="5" t="e">
        <f t="shared" si="23"/>
        <v>#DIV/0!</v>
      </c>
      <c r="H384" s="19"/>
      <c r="J384" s="50"/>
      <c r="K384" s="51"/>
      <c r="L384" s="52"/>
      <c r="N384" s="104"/>
      <c r="O384" s="105"/>
      <c r="P384" s="106"/>
    </row>
    <row r="385" spans="1:16" ht="12.75" customHeight="1" x14ac:dyDescent="0.25">
      <c r="B385" s="128"/>
      <c r="D385" s="15" t="s">
        <v>121</v>
      </c>
      <c r="G385" s="5" t="e">
        <f>E385/F385</f>
        <v>#DIV/0!</v>
      </c>
      <c r="H385" s="19"/>
      <c r="J385" s="50"/>
      <c r="K385" s="51"/>
      <c r="L385" s="52"/>
      <c r="N385" s="104"/>
      <c r="O385" s="105"/>
      <c r="P385" s="106"/>
    </row>
    <row r="386" spans="1:16" ht="12.75" customHeight="1" x14ac:dyDescent="0.25">
      <c r="B386" s="128"/>
      <c r="D386" s="30" t="s">
        <v>118</v>
      </c>
      <c r="G386" s="5" t="e">
        <f>E386/F386</f>
        <v>#DIV/0!</v>
      </c>
      <c r="H386" s="19"/>
      <c r="J386" s="50"/>
      <c r="K386" s="51"/>
      <c r="L386" s="52"/>
      <c r="N386" s="104"/>
      <c r="O386" s="105"/>
      <c r="P386" s="106"/>
    </row>
    <row r="387" spans="1:16" ht="12.75" customHeight="1" x14ac:dyDescent="0.25">
      <c r="B387" s="17"/>
      <c r="D387" s="3"/>
      <c r="G387" s="3"/>
      <c r="H387" s="19"/>
      <c r="J387" s="50"/>
      <c r="K387" s="51"/>
      <c r="L387" s="52"/>
      <c r="N387" s="104"/>
      <c r="O387" s="105"/>
      <c r="P387" s="106"/>
    </row>
    <row r="388" spans="1:16" x14ac:dyDescent="0.25">
      <c r="A388" s="138"/>
      <c r="B388" s="99"/>
      <c r="C388" s="96"/>
      <c r="D388" s="97"/>
      <c r="E388" s="96"/>
      <c r="F388" s="96"/>
      <c r="G388" s="98"/>
      <c r="H388" s="96"/>
      <c r="J388" s="50"/>
      <c r="K388" s="51"/>
      <c r="L388" s="52"/>
      <c r="N388" s="104"/>
      <c r="O388" s="105"/>
      <c r="P388" s="106"/>
    </row>
    <row r="389" spans="1:16" x14ac:dyDescent="0.25">
      <c r="A389" s="79">
        <v>46180</v>
      </c>
      <c r="B389" s="17" t="s">
        <v>339</v>
      </c>
      <c r="C389" s="19" t="s">
        <v>108</v>
      </c>
      <c r="D389" s="29" t="s">
        <v>269</v>
      </c>
      <c r="G389" s="5" t="e">
        <f t="shared" ref="G389:G392" si="24">E389/F389</f>
        <v>#DIV/0!</v>
      </c>
      <c r="H389" s="160"/>
      <c r="J389" s="50"/>
      <c r="K389" s="51"/>
      <c r="L389" s="52"/>
      <c r="N389" s="104"/>
      <c r="O389" s="105"/>
      <c r="P389" s="106"/>
    </row>
    <row r="390" spans="1:16" ht="13.2" customHeight="1" x14ac:dyDescent="0.25">
      <c r="A390" s="79" t="s">
        <v>227</v>
      </c>
      <c r="B390" s="17" t="s">
        <v>676</v>
      </c>
      <c r="D390" s="110" t="s">
        <v>226</v>
      </c>
      <c r="G390" s="5" t="e">
        <f t="shared" si="24"/>
        <v>#DIV/0!</v>
      </c>
      <c r="H390" s="19"/>
      <c r="J390" s="50"/>
      <c r="K390" s="51"/>
      <c r="L390" s="52"/>
      <c r="N390" s="104"/>
      <c r="O390" s="105"/>
      <c r="P390" s="106"/>
    </row>
    <row r="391" spans="1:16" ht="12.75" customHeight="1" x14ac:dyDescent="0.25">
      <c r="B391" s="19" t="s">
        <v>281</v>
      </c>
      <c r="D391" s="15" t="s">
        <v>267</v>
      </c>
      <c r="G391" s="5" t="e">
        <f t="shared" si="24"/>
        <v>#DIV/0!</v>
      </c>
      <c r="H391" s="19" t="s">
        <v>661</v>
      </c>
      <c r="J391" s="50"/>
      <c r="K391" s="51"/>
      <c r="L391" s="52"/>
      <c r="N391" s="104"/>
      <c r="O391" s="105"/>
      <c r="P391" s="106"/>
    </row>
    <row r="392" spans="1:16" ht="12.75" customHeight="1" x14ac:dyDescent="0.25">
      <c r="B392" s="17"/>
      <c r="D392" s="15" t="s">
        <v>125</v>
      </c>
      <c r="G392" s="5" t="e">
        <f t="shared" si="24"/>
        <v>#DIV/0!</v>
      </c>
      <c r="H392" s="19"/>
      <c r="J392" s="50"/>
      <c r="K392" s="51"/>
      <c r="L392" s="52"/>
      <c r="N392" s="104"/>
      <c r="O392" s="105"/>
      <c r="P392" s="106"/>
    </row>
    <row r="393" spans="1:16" ht="12.75" customHeight="1" x14ac:dyDescent="0.25">
      <c r="B393" s="17"/>
      <c r="D393" s="110" t="s">
        <v>224</v>
      </c>
      <c r="G393" s="5" t="e">
        <f>E393/F393</f>
        <v>#DIV/0!</v>
      </c>
      <c r="H393" s="19"/>
      <c r="J393" s="50"/>
      <c r="K393" s="51"/>
      <c r="L393" s="52"/>
      <c r="N393" s="104"/>
      <c r="O393" s="105"/>
      <c r="P393" s="106"/>
    </row>
    <row r="394" spans="1:16" ht="12.75" customHeight="1" x14ac:dyDescent="0.25">
      <c r="B394" s="17"/>
      <c r="D394" s="15" t="s">
        <v>263</v>
      </c>
      <c r="G394" s="5" t="e">
        <f t="shared" ref="G394:G395" si="25">E394/F394</f>
        <v>#DIV/0!</v>
      </c>
      <c r="H394" s="19"/>
      <c r="J394" s="50"/>
      <c r="K394" s="51"/>
      <c r="L394" s="52"/>
      <c r="N394" s="104"/>
      <c r="O394" s="105"/>
      <c r="P394" s="106"/>
    </row>
    <row r="395" spans="1:16" x14ac:dyDescent="0.25">
      <c r="B395" s="17"/>
      <c r="D395" s="110" t="s">
        <v>622</v>
      </c>
      <c r="G395" s="5" t="e">
        <f t="shared" si="25"/>
        <v>#DIV/0!</v>
      </c>
      <c r="H395" s="19"/>
      <c r="J395" s="50"/>
      <c r="K395" s="51"/>
      <c r="L395" s="52"/>
      <c r="N395" s="104"/>
      <c r="O395" s="105"/>
      <c r="P395" s="106"/>
    </row>
    <row r="396" spans="1:16" x14ac:dyDescent="0.25">
      <c r="A396" s="138"/>
      <c r="B396" s="95"/>
      <c r="C396" s="96"/>
      <c r="D396" s="97"/>
      <c r="E396" s="96"/>
      <c r="F396" s="96"/>
      <c r="G396" s="98"/>
      <c r="H396" s="96"/>
      <c r="J396" s="50"/>
      <c r="K396" s="51"/>
      <c r="L396" s="52"/>
      <c r="N396" s="104"/>
      <c r="O396" s="105"/>
      <c r="P396" s="106"/>
    </row>
    <row r="397" spans="1:16" x14ac:dyDescent="0.25">
      <c r="A397" s="79">
        <v>46180</v>
      </c>
      <c r="B397" s="17" t="s">
        <v>677</v>
      </c>
      <c r="C397" s="3" t="s">
        <v>136</v>
      </c>
      <c r="D397" s="30" t="s">
        <v>117</v>
      </c>
      <c r="G397" s="5" t="e">
        <f t="shared" ref="G397:G399" si="26">E397/F397</f>
        <v>#DIV/0!</v>
      </c>
      <c r="H397" s="160"/>
      <c r="J397" s="50"/>
      <c r="K397" s="51"/>
      <c r="L397" s="52"/>
      <c r="N397" s="104"/>
      <c r="O397" s="105"/>
      <c r="P397" s="106"/>
    </row>
    <row r="398" spans="1:16" ht="13.2" customHeight="1" x14ac:dyDescent="0.25">
      <c r="A398" s="79" t="s">
        <v>227</v>
      </c>
      <c r="B398" s="17" t="s">
        <v>676</v>
      </c>
      <c r="D398" s="15" t="s">
        <v>178</v>
      </c>
      <c r="G398" s="5" t="e">
        <f t="shared" si="26"/>
        <v>#DIV/0!</v>
      </c>
      <c r="H398" s="19" t="s">
        <v>660</v>
      </c>
      <c r="J398" s="50"/>
      <c r="K398" s="51"/>
      <c r="L398" s="52"/>
      <c r="N398" s="104"/>
      <c r="O398" s="105"/>
      <c r="P398" s="106"/>
    </row>
    <row r="399" spans="1:16" ht="13.2" customHeight="1" x14ac:dyDescent="0.25">
      <c r="B399" s="19" t="s">
        <v>280</v>
      </c>
      <c r="D399" s="29" t="s">
        <v>129</v>
      </c>
      <c r="G399" s="5" t="e">
        <f t="shared" si="26"/>
        <v>#DIV/0!</v>
      </c>
      <c r="J399" s="50"/>
      <c r="K399" s="51"/>
      <c r="L399" s="52"/>
      <c r="N399" s="104"/>
      <c r="O399" s="105"/>
      <c r="P399" s="106"/>
    </row>
    <row r="400" spans="1:16" x14ac:dyDescent="0.25">
      <c r="A400" s="138"/>
      <c r="B400" s="95"/>
      <c r="C400" s="96"/>
      <c r="D400" s="97"/>
      <c r="E400" s="96"/>
      <c r="F400" s="96"/>
      <c r="G400" s="98"/>
      <c r="H400" s="96"/>
      <c r="J400" s="50"/>
      <c r="K400" s="51"/>
      <c r="L400" s="52"/>
      <c r="N400" s="104"/>
      <c r="O400" s="105"/>
      <c r="P400" s="106"/>
    </row>
    <row r="401" spans="1:16" x14ac:dyDescent="0.25">
      <c r="A401" s="79">
        <v>46180</v>
      </c>
      <c r="B401" s="17" t="s">
        <v>619</v>
      </c>
      <c r="C401" s="3" t="s">
        <v>136</v>
      </c>
      <c r="D401" s="15" t="s">
        <v>297</v>
      </c>
      <c r="G401" s="5" t="e">
        <f t="shared" ref="G401:G404" si="27">E401/F401</f>
        <v>#DIV/0!</v>
      </c>
      <c r="H401" s="19"/>
      <c r="J401" s="50"/>
      <c r="K401" s="51"/>
      <c r="L401" s="52"/>
      <c r="N401" s="104"/>
      <c r="O401" s="105"/>
      <c r="P401" s="106"/>
    </row>
    <row r="402" spans="1:16" x14ac:dyDescent="0.25">
      <c r="A402" s="79" t="s">
        <v>227</v>
      </c>
      <c r="B402" s="17" t="s">
        <v>676</v>
      </c>
      <c r="D402" s="15" t="s">
        <v>268</v>
      </c>
      <c r="G402" s="5" t="e">
        <f t="shared" si="27"/>
        <v>#DIV/0!</v>
      </c>
      <c r="H402" s="19" t="s">
        <v>421</v>
      </c>
      <c r="J402" s="50"/>
      <c r="K402" s="51"/>
      <c r="L402" s="52"/>
      <c r="N402" s="104"/>
      <c r="O402" s="105"/>
      <c r="P402" s="106"/>
    </row>
    <row r="403" spans="1:16" ht="13.2" customHeight="1" x14ac:dyDescent="0.25">
      <c r="A403" s="79"/>
      <c r="B403" s="19" t="s">
        <v>280</v>
      </c>
      <c r="D403" s="15" t="s">
        <v>217</v>
      </c>
      <c r="G403" s="5" t="e">
        <f t="shared" si="27"/>
        <v>#DIV/0!</v>
      </c>
      <c r="H403" s="19"/>
      <c r="J403" s="50"/>
      <c r="K403" s="51"/>
      <c r="L403" s="52"/>
      <c r="N403" s="104"/>
      <c r="O403" s="105"/>
      <c r="P403" s="106"/>
    </row>
    <row r="404" spans="1:16" x14ac:dyDescent="0.25">
      <c r="B404" s="17"/>
      <c r="D404" s="15" t="s">
        <v>179</v>
      </c>
      <c r="G404" s="5" t="e">
        <f t="shared" si="27"/>
        <v>#DIV/0!</v>
      </c>
      <c r="H404" s="19"/>
      <c r="J404" s="50"/>
      <c r="K404" s="51"/>
      <c r="L404" s="52"/>
      <c r="N404" s="104"/>
      <c r="O404" s="105"/>
      <c r="P404" s="106"/>
    </row>
    <row r="405" spans="1:16" x14ac:dyDescent="0.25">
      <c r="A405" s="138"/>
      <c r="B405" s="95"/>
      <c r="C405" s="96"/>
      <c r="D405" s="97"/>
      <c r="E405" s="96"/>
      <c r="F405" s="96"/>
      <c r="G405" s="98"/>
      <c r="H405" s="98"/>
      <c r="J405" s="50"/>
      <c r="K405" s="47"/>
      <c r="L405" s="52"/>
      <c r="M405" s="19"/>
      <c r="N405" s="48"/>
      <c r="O405" s="27"/>
      <c r="P405" s="49"/>
    </row>
    <row r="406" spans="1:16" x14ac:dyDescent="0.25">
      <c r="A406" s="79"/>
      <c r="B406" s="17"/>
      <c r="D406" s="15"/>
      <c r="H406" s="160"/>
      <c r="J406" s="50"/>
      <c r="K406" s="51"/>
      <c r="L406" s="52"/>
      <c r="N406" s="104"/>
      <c r="O406" s="105"/>
      <c r="P406" s="106"/>
    </row>
    <row r="407" spans="1:16" ht="13.2" customHeight="1" x14ac:dyDescent="0.25">
      <c r="A407" s="79"/>
      <c r="B407" s="17"/>
      <c r="D407" s="15"/>
      <c r="H407" s="19"/>
      <c r="J407" s="50"/>
      <c r="K407" s="51"/>
      <c r="L407" s="52"/>
      <c r="N407" s="104"/>
      <c r="O407" s="105"/>
      <c r="P407" s="106"/>
    </row>
    <row r="408" spans="1:16" ht="13.2" customHeight="1" x14ac:dyDescent="0.25">
      <c r="B408" s="17"/>
      <c r="D408" s="15"/>
      <c r="H408" s="19"/>
      <c r="J408" s="50"/>
      <c r="K408" s="51"/>
      <c r="L408" s="52"/>
      <c r="N408" s="104"/>
      <c r="O408" s="105"/>
      <c r="P408" s="106"/>
    </row>
    <row r="409" spans="1:16" ht="13.2" customHeight="1" x14ac:dyDescent="0.25">
      <c r="B409" s="17"/>
      <c r="D409" s="15"/>
      <c r="H409" s="19"/>
      <c r="J409" s="50"/>
      <c r="K409" s="51"/>
      <c r="L409" s="52"/>
      <c r="N409" s="104"/>
      <c r="O409" s="105"/>
      <c r="P409" s="106"/>
    </row>
    <row r="410" spans="1:16" ht="13.2" customHeight="1" x14ac:dyDescent="0.25">
      <c r="B410" s="17"/>
      <c r="D410" s="211"/>
      <c r="H410" s="19"/>
      <c r="J410" s="50"/>
      <c r="K410" s="51"/>
      <c r="L410" s="52"/>
      <c r="N410" s="104"/>
      <c r="O410" s="105"/>
      <c r="P410" s="106"/>
    </row>
    <row r="411" spans="1:16" x14ac:dyDescent="0.25">
      <c r="A411" s="138"/>
      <c r="B411" s="99"/>
      <c r="C411" s="96"/>
      <c r="D411" s="97"/>
      <c r="E411" s="96"/>
      <c r="F411" s="96"/>
      <c r="G411" s="98"/>
      <c r="H411" s="96"/>
      <c r="J411" s="50"/>
      <c r="K411" s="51"/>
      <c r="L411" s="52"/>
      <c r="N411" s="104"/>
      <c r="O411" s="105"/>
      <c r="P411" s="106"/>
    </row>
    <row r="412" spans="1:16" ht="13.2" customHeight="1" x14ac:dyDescent="0.25">
      <c r="A412" s="79"/>
      <c r="B412" s="17"/>
      <c r="C412" s="19"/>
      <c r="D412" s="110"/>
      <c r="H412" s="17"/>
      <c r="J412" s="46"/>
      <c r="K412" s="47"/>
      <c r="L412" s="203"/>
      <c r="M412" s="19"/>
      <c r="N412" s="48"/>
      <c r="O412" s="27"/>
      <c r="P412" s="49"/>
    </row>
    <row r="413" spans="1:16" x14ac:dyDescent="0.25">
      <c r="B413" s="128"/>
      <c r="C413" s="19"/>
      <c r="D413" s="112"/>
      <c r="H413" s="19"/>
      <c r="J413" s="46"/>
      <c r="K413" s="47"/>
      <c r="L413" s="203"/>
      <c r="M413" s="19"/>
      <c r="N413" s="48"/>
      <c r="O413" s="27"/>
      <c r="P413" s="49"/>
    </row>
    <row r="414" spans="1:16" x14ac:dyDescent="0.25">
      <c r="B414" s="128"/>
      <c r="C414" s="19"/>
      <c r="D414" s="116"/>
      <c r="H414" s="19"/>
      <c r="J414" s="46"/>
      <c r="K414" s="47"/>
      <c r="L414" s="203"/>
      <c r="M414" s="19"/>
      <c r="N414" s="48"/>
      <c r="O414" s="27"/>
      <c r="P414" s="49"/>
    </row>
    <row r="415" spans="1:16" x14ac:dyDescent="0.25">
      <c r="B415" s="128"/>
      <c r="C415" s="19"/>
      <c r="D415" s="110"/>
      <c r="H415" s="17"/>
      <c r="J415" s="46"/>
      <c r="K415" s="47"/>
      <c r="L415" s="203"/>
      <c r="M415" s="19"/>
      <c r="N415" s="48"/>
      <c r="O415" s="27"/>
      <c r="P415" s="49"/>
    </row>
    <row r="416" spans="1:16" x14ac:dyDescent="0.25">
      <c r="B416" s="128"/>
      <c r="C416" s="19"/>
      <c r="D416" s="30"/>
      <c r="H416" s="17"/>
      <c r="J416" s="46"/>
      <c r="K416" s="47"/>
      <c r="L416" s="203"/>
      <c r="M416" s="19"/>
      <c r="N416" s="48"/>
      <c r="O416" s="27"/>
      <c r="P416" s="49"/>
    </row>
    <row r="417" spans="1:16" x14ac:dyDescent="0.25">
      <c r="B417" s="128"/>
      <c r="C417" s="19"/>
      <c r="D417" s="110"/>
      <c r="H417" s="17"/>
      <c r="J417" s="46"/>
      <c r="K417" s="47"/>
      <c r="L417" s="203"/>
      <c r="M417" s="19"/>
      <c r="N417" s="48"/>
      <c r="O417" s="27"/>
      <c r="P417" s="49"/>
    </row>
    <row r="418" spans="1:16" x14ac:dyDescent="0.25">
      <c r="B418" s="128"/>
      <c r="C418" s="19"/>
      <c r="D418" s="110"/>
      <c r="H418" s="17"/>
      <c r="J418" s="46"/>
      <c r="K418" s="47"/>
      <c r="L418" s="203"/>
      <c r="M418" s="19"/>
      <c r="N418" s="48"/>
      <c r="O418" s="27"/>
      <c r="P418" s="49"/>
    </row>
    <row r="419" spans="1:16" s="19" customFormat="1" x14ac:dyDescent="0.25">
      <c r="A419" s="138"/>
      <c r="B419" s="95"/>
      <c r="C419" s="96"/>
      <c r="D419" s="97"/>
      <c r="E419" s="96"/>
      <c r="F419" s="96"/>
      <c r="G419" s="98"/>
      <c r="H419" s="96"/>
      <c r="J419" s="46"/>
      <c r="K419" s="47"/>
      <c r="L419" s="52"/>
      <c r="N419" s="48"/>
      <c r="O419" s="27"/>
      <c r="P419" s="49"/>
    </row>
    <row r="420" spans="1:16" s="19" customFormat="1" x14ac:dyDescent="0.25">
      <c r="A420" s="79">
        <v>45829</v>
      </c>
      <c r="B420" s="17" t="s">
        <v>320</v>
      </c>
      <c r="C420" s="19" t="s">
        <v>102</v>
      </c>
      <c r="D420" s="15"/>
      <c r="E420" s="3"/>
      <c r="F420" s="3"/>
      <c r="G420" s="5"/>
      <c r="J420" s="46"/>
      <c r="K420" s="47"/>
      <c r="L420" s="52"/>
      <c r="N420" s="104"/>
      <c r="O420" s="105"/>
      <c r="P420" s="106"/>
    </row>
    <row r="421" spans="1:16" s="19" customFormat="1" x14ac:dyDescent="0.25">
      <c r="A421" s="129"/>
      <c r="B421" s="17" t="s">
        <v>135</v>
      </c>
      <c r="D421" s="29"/>
      <c r="E421" s="3"/>
      <c r="G421" s="5"/>
      <c r="J421" s="46"/>
      <c r="K421" s="47"/>
      <c r="L421" s="52"/>
      <c r="N421" s="104"/>
      <c r="O421" s="105"/>
      <c r="P421" s="106"/>
    </row>
    <row r="422" spans="1:16" s="19" customFormat="1" x14ac:dyDescent="0.25">
      <c r="A422" s="128"/>
      <c r="B422" s="19" t="s">
        <v>402</v>
      </c>
      <c r="D422" s="15"/>
      <c r="E422" s="3"/>
      <c r="F422" s="3"/>
      <c r="G422" s="5"/>
      <c r="J422" s="46"/>
      <c r="K422" s="47"/>
      <c r="L422" s="52"/>
      <c r="N422" s="104"/>
      <c r="O422" s="105"/>
      <c r="P422" s="106"/>
    </row>
    <row r="423" spans="1:16" s="19" customFormat="1" x14ac:dyDescent="0.25">
      <c r="A423" s="129"/>
      <c r="C423" s="3"/>
      <c r="D423" s="30"/>
      <c r="E423" s="3"/>
      <c r="F423" s="3"/>
      <c r="G423" s="5"/>
      <c r="J423" s="46"/>
      <c r="K423" s="47"/>
      <c r="L423" s="52"/>
      <c r="N423" s="104"/>
      <c r="O423" s="105"/>
      <c r="P423" s="106"/>
    </row>
    <row r="424" spans="1:16" s="19" customFormat="1" x14ac:dyDescent="0.25">
      <c r="A424" s="129"/>
      <c r="C424" s="3"/>
      <c r="D424" s="15"/>
      <c r="E424" s="3"/>
      <c r="F424" s="3"/>
      <c r="G424" s="5"/>
      <c r="J424" s="46"/>
      <c r="K424" s="47"/>
      <c r="L424" s="52"/>
      <c r="N424" s="104"/>
      <c r="O424" s="105"/>
      <c r="P424" s="106"/>
    </row>
    <row r="425" spans="1:16" s="19" customFormat="1" x14ac:dyDescent="0.25">
      <c r="A425" s="129"/>
      <c r="C425" s="3"/>
      <c r="D425" s="15"/>
      <c r="F425" s="3"/>
      <c r="G425" s="5"/>
      <c r="J425" s="46"/>
      <c r="K425" s="47"/>
      <c r="L425" s="52"/>
      <c r="N425" s="104"/>
      <c r="O425" s="105"/>
      <c r="P425" s="106"/>
    </row>
    <row r="426" spans="1:16" s="19" customFormat="1" x14ac:dyDescent="0.25">
      <c r="A426" s="129"/>
      <c r="C426" s="3"/>
      <c r="D426" s="15"/>
      <c r="F426" s="3"/>
      <c r="G426" s="5"/>
      <c r="J426" s="46"/>
      <c r="K426" s="47"/>
      <c r="L426" s="52"/>
      <c r="N426" s="104"/>
      <c r="O426" s="105"/>
      <c r="P426" s="106"/>
    </row>
    <row r="427" spans="1:16" s="19" customFormat="1" x14ac:dyDescent="0.25">
      <c r="A427" s="129"/>
      <c r="C427" s="3"/>
      <c r="D427" s="30"/>
      <c r="F427" s="3"/>
      <c r="G427" s="5"/>
      <c r="J427" s="46"/>
      <c r="K427" s="47"/>
      <c r="L427" s="52"/>
      <c r="N427" s="104"/>
      <c r="O427" s="105"/>
      <c r="P427" s="106"/>
    </row>
    <row r="428" spans="1:16" s="19" customFormat="1" x14ac:dyDescent="0.25">
      <c r="A428" s="129"/>
      <c r="C428" s="3"/>
      <c r="D428" s="15"/>
      <c r="F428" s="3"/>
      <c r="G428" s="5"/>
      <c r="J428" s="46"/>
      <c r="K428" s="47"/>
      <c r="L428" s="52"/>
      <c r="N428" s="104"/>
      <c r="O428" s="105"/>
      <c r="P428" s="106"/>
    </row>
    <row r="429" spans="1:16" s="19" customFormat="1" x14ac:dyDescent="0.25">
      <c r="A429" s="138"/>
      <c r="B429" s="95"/>
      <c r="C429" s="96"/>
      <c r="D429" s="97"/>
      <c r="E429" s="96"/>
      <c r="F429" s="96"/>
      <c r="G429" s="98"/>
      <c r="H429" s="96"/>
      <c r="J429" s="46"/>
      <c r="K429" s="47"/>
      <c r="L429" s="52"/>
      <c r="N429" s="48"/>
      <c r="O429" s="27"/>
      <c r="P429" s="49"/>
    </row>
    <row r="430" spans="1:16" s="19" customFormat="1" x14ac:dyDescent="0.25">
      <c r="A430" s="79">
        <v>45829</v>
      </c>
      <c r="B430" s="17" t="s">
        <v>381</v>
      </c>
      <c r="C430" s="19" t="s">
        <v>102</v>
      </c>
      <c r="D430" s="110"/>
      <c r="E430" s="3"/>
      <c r="G430" s="5"/>
      <c r="J430" s="46"/>
      <c r="K430" s="47"/>
      <c r="L430" s="52"/>
      <c r="N430" s="104"/>
      <c r="O430" s="105"/>
      <c r="P430" s="106"/>
    </row>
    <row r="431" spans="1:16" s="19" customFormat="1" x14ac:dyDescent="0.25">
      <c r="A431" s="129"/>
      <c r="B431" s="17" t="s">
        <v>180</v>
      </c>
      <c r="D431" s="15"/>
      <c r="E431" s="3"/>
      <c r="F431" s="3"/>
      <c r="G431" s="5"/>
      <c r="J431" s="46"/>
      <c r="K431" s="47"/>
      <c r="L431" s="52"/>
      <c r="N431" s="104"/>
      <c r="O431" s="105"/>
      <c r="P431" s="106"/>
    </row>
    <row r="432" spans="1:16" s="19" customFormat="1" x14ac:dyDescent="0.25">
      <c r="A432" s="128"/>
      <c r="B432" s="19" t="s">
        <v>403</v>
      </c>
      <c r="D432" s="110"/>
      <c r="E432" s="3"/>
      <c r="F432" s="3"/>
      <c r="G432" s="5"/>
      <c r="J432" s="46"/>
      <c r="K432" s="47"/>
      <c r="L432" s="52"/>
      <c r="N432" s="104"/>
      <c r="O432" s="105"/>
      <c r="P432" s="106"/>
    </row>
    <row r="433" spans="1:17" s="19" customFormat="1" x14ac:dyDescent="0.25">
      <c r="A433" s="138"/>
      <c r="B433" s="95"/>
      <c r="C433" s="96"/>
      <c r="D433" s="97"/>
      <c r="E433" s="96"/>
      <c r="F433" s="96"/>
      <c r="G433" s="98"/>
      <c r="H433" s="96"/>
      <c r="J433" s="46"/>
      <c r="K433" s="47"/>
      <c r="L433" s="52"/>
      <c r="N433" s="48"/>
      <c r="O433" s="27"/>
      <c r="P433" s="49"/>
    </row>
    <row r="434" spans="1:17" s="19" customFormat="1" x14ac:dyDescent="0.25">
      <c r="A434" s="79">
        <v>45844</v>
      </c>
      <c r="B434" s="17" t="s">
        <v>330</v>
      </c>
      <c r="C434" s="19" t="s">
        <v>102</v>
      </c>
      <c r="D434" s="110"/>
      <c r="E434" s="3"/>
      <c r="F434" s="3"/>
      <c r="G434" s="5"/>
      <c r="J434" s="46"/>
      <c r="K434" s="47"/>
      <c r="L434" s="52"/>
      <c r="N434" s="104"/>
      <c r="O434" s="105"/>
      <c r="P434" s="106"/>
    </row>
    <row r="435" spans="1:17" s="19" customFormat="1" x14ac:dyDescent="0.25">
      <c r="A435" s="129"/>
      <c r="B435" s="17" t="s">
        <v>200</v>
      </c>
      <c r="C435" s="3"/>
      <c r="D435" s="15"/>
      <c r="E435" s="3"/>
      <c r="F435" s="3"/>
      <c r="G435" s="5"/>
      <c r="J435" s="46"/>
      <c r="K435" s="47"/>
      <c r="L435" s="52"/>
      <c r="N435" s="104"/>
      <c r="O435" s="105"/>
      <c r="P435" s="106"/>
    </row>
    <row r="436" spans="1:17" s="19" customFormat="1" x14ac:dyDescent="0.25">
      <c r="A436" s="138"/>
      <c r="B436" s="95"/>
      <c r="C436" s="96"/>
      <c r="D436" s="97"/>
      <c r="E436" s="96"/>
      <c r="F436" s="96"/>
      <c r="G436" s="98"/>
      <c r="H436" s="96"/>
      <c r="J436" s="46"/>
      <c r="K436" s="47"/>
      <c r="L436" s="52"/>
      <c r="N436" s="48"/>
      <c r="O436" s="27"/>
      <c r="P436" s="49"/>
    </row>
    <row r="437" spans="1:17" s="19" customFormat="1" x14ac:dyDescent="0.25">
      <c r="A437" s="129"/>
      <c r="B437" s="17"/>
      <c r="C437" s="3"/>
      <c r="D437" s="15"/>
      <c r="E437" s="3"/>
      <c r="F437" s="3"/>
      <c r="G437" s="5"/>
      <c r="J437" s="46"/>
      <c r="K437" s="47"/>
      <c r="L437" s="52"/>
      <c r="N437" s="104"/>
      <c r="O437" s="105"/>
      <c r="P437" s="106"/>
    </row>
    <row r="438" spans="1:17" s="19" customFormat="1" x14ac:dyDescent="0.25">
      <c r="A438" s="129"/>
      <c r="B438" s="17"/>
      <c r="C438" s="3"/>
      <c r="D438" s="15"/>
      <c r="E438" s="3"/>
      <c r="F438" s="3"/>
      <c r="G438" s="5"/>
      <c r="J438" s="46"/>
      <c r="K438" s="47"/>
      <c r="L438" s="52"/>
      <c r="N438" s="104"/>
      <c r="O438" s="105"/>
      <c r="P438" s="106"/>
    </row>
    <row r="439" spans="1:17" s="19" customFormat="1" x14ac:dyDescent="0.25">
      <c r="A439" s="129"/>
      <c r="B439" s="17"/>
      <c r="C439" s="3"/>
      <c r="D439" s="15"/>
      <c r="E439" s="3"/>
      <c r="F439" s="3"/>
      <c r="G439" s="5"/>
      <c r="J439" s="46"/>
      <c r="K439" s="47"/>
      <c r="L439" s="52"/>
      <c r="N439" s="104"/>
      <c r="O439" s="105"/>
      <c r="P439" s="106"/>
    </row>
    <row r="440" spans="1:17" s="19" customFormat="1" x14ac:dyDescent="0.25">
      <c r="A440" s="129"/>
      <c r="B440" s="17"/>
      <c r="C440" s="3"/>
      <c r="D440" s="15"/>
      <c r="E440" s="3"/>
      <c r="F440" s="3"/>
      <c r="G440" s="5"/>
      <c r="J440" s="46"/>
      <c r="K440" s="47"/>
      <c r="L440" s="52"/>
      <c r="N440" s="104"/>
      <c r="O440" s="105"/>
      <c r="P440" s="106"/>
    </row>
    <row r="441" spans="1:17" s="19" customFormat="1" x14ac:dyDescent="0.25">
      <c r="A441" s="129"/>
      <c r="B441" s="17"/>
      <c r="C441" s="3"/>
      <c r="D441" s="15"/>
      <c r="E441" s="3"/>
      <c r="F441" s="3"/>
      <c r="G441" s="5"/>
      <c r="J441" s="46"/>
      <c r="K441" s="47"/>
      <c r="L441" s="52"/>
      <c r="N441" s="104"/>
      <c r="O441" s="105"/>
      <c r="P441" s="106"/>
    </row>
    <row r="442" spans="1:17" s="19" customFormat="1" x14ac:dyDescent="0.25">
      <c r="A442" s="129"/>
      <c r="B442" s="17"/>
      <c r="C442" s="3"/>
      <c r="D442" s="15"/>
      <c r="E442" s="3"/>
      <c r="F442" s="3"/>
      <c r="G442" s="5"/>
      <c r="J442" s="46"/>
      <c r="K442" s="47"/>
      <c r="L442" s="52"/>
      <c r="N442" s="104"/>
      <c r="O442" s="105"/>
      <c r="P442" s="106"/>
    </row>
    <row r="443" spans="1:17" s="19" customFormat="1" x14ac:dyDescent="0.25">
      <c r="A443" s="129"/>
      <c r="B443" s="17"/>
      <c r="C443" s="3"/>
      <c r="D443" s="15"/>
      <c r="E443" s="3"/>
      <c r="F443" s="3"/>
      <c r="G443" s="5"/>
      <c r="J443" s="46"/>
      <c r="K443" s="47"/>
      <c r="L443" s="52"/>
      <c r="N443" s="104"/>
      <c r="O443" s="105"/>
      <c r="P443" s="106"/>
    </row>
    <row r="444" spans="1:17" s="19" customFormat="1" x14ac:dyDescent="0.25">
      <c r="A444" s="138"/>
      <c r="B444" s="95"/>
      <c r="C444" s="96"/>
      <c r="D444" s="97"/>
      <c r="E444" s="96"/>
      <c r="F444" s="96"/>
      <c r="G444" s="98"/>
      <c r="H444" s="96"/>
      <c r="J444" s="46"/>
      <c r="K444" s="47"/>
      <c r="L444" s="52"/>
      <c r="N444" s="48"/>
      <c r="O444" s="27"/>
      <c r="P444" s="49"/>
    </row>
    <row r="445" spans="1:17" x14ac:dyDescent="0.25">
      <c r="I445" s="19" t="s">
        <v>82</v>
      </c>
      <c r="L445" s="3">
        <f>SUM(L2:L444)</f>
        <v>4</v>
      </c>
      <c r="M445" s="3">
        <f>SUM(J445:L445)</f>
        <v>4</v>
      </c>
      <c r="N445" s="3">
        <f>SUM(N2:N444)</f>
        <v>2</v>
      </c>
      <c r="O445" s="3">
        <f>SUM(O2:O444)</f>
        <v>2</v>
      </c>
      <c r="P445" s="3">
        <f>SUM(P2:P444)</f>
        <v>0</v>
      </c>
      <c r="Q445" s="3">
        <f>SUM(N445:P445)</f>
        <v>4</v>
      </c>
    </row>
    <row r="447" spans="1:17" x14ac:dyDescent="0.25">
      <c r="I447" s="19" t="s">
        <v>186</v>
      </c>
      <c r="J447" s="3">
        <f>COUNTA(J46:J444)</f>
        <v>6</v>
      </c>
      <c r="K447" s="3">
        <f>COUNTA(K46:K444)</f>
        <v>10</v>
      </c>
      <c r="M447" s="3">
        <f>SUM(J447:L447)</f>
        <v>16</v>
      </c>
      <c r="N447" s="3">
        <f>COUNTA(N46:N444)-N445</f>
        <v>7</v>
      </c>
      <c r="O447" s="3">
        <f>COUNTA(O46:O444)-O445</f>
        <v>4</v>
      </c>
      <c r="P447" s="3">
        <f>COUNTA(P46:P444)-P445</f>
        <v>5</v>
      </c>
      <c r="Q447" s="3">
        <f>SUM(N447:P447)</f>
        <v>16</v>
      </c>
    </row>
    <row r="449" spans="13:17" x14ac:dyDescent="0.25">
      <c r="M449" s="3">
        <f>M445+M447</f>
        <v>20</v>
      </c>
      <c r="Q449" s="3">
        <f>Q445+Q447</f>
        <v>20</v>
      </c>
    </row>
  </sheetData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O120"/>
  <sheetViews>
    <sheetView workbookViewId="0">
      <pane xSplit="2" ySplit="1" topLeftCell="R34" activePane="bottomRight" state="frozenSplit"/>
      <selection pane="topRight" activeCell="C1" sqref="C1"/>
      <selection pane="bottomLeft" activeCell="A2" sqref="A2"/>
      <selection pane="bottomRight" activeCell="AY44" sqref="AY44"/>
    </sheetView>
  </sheetViews>
  <sheetFormatPr baseColWidth="10" defaultColWidth="9.109375" defaultRowHeight="13.2" x14ac:dyDescent="0.25"/>
  <cols>
    <col min="1" max="1" width="28.44140625" style="8" customWidth="1"/>
    <col min="2" max="2" width="9" style="8" customWidth="1"/>
    <col min="3" max="3" width="3" style="8" bestFit="1" customWidth="1"/>
    <col min="4" max="6" width="3" style="10" bestFit="1" customWidth="1"/>
    <col min="7" max="8" width="3" style="10" customWidth="1"/>
    <col min="9" max="10" width="3" style="10" bestFit="1" customWidth="1"/>
    <col min="11" max="11" width="3.5546875" style="10" customWidth="1"/>
    <col min="12" max="13" width="3" style="10" customWidth="1"/>
    <col min="14" max="14" width="3" style="10" bestFit="1" customWidth="1"/>
    <col min="15" max="16" width="3" style="10" customWidth="1"/>
    <col min="17" max="17" width="3.109375" style="11" customWidth="1"/>
    <col min="18" max="21" width="3" style="10" bestFit="1" customWidth="1"/>
    <col min="22" max="22" width="3" style="11" bestFit="1" customWidth="1"/>
    <col min="23" max="25" width="3" style="11" customWidth="1"/>
    <col min="26" max="27" width="3" style="10" bestFit="1" customWidth="1"/>
    <col min="28" max="28" width="4.109375" style="10" customWidth="1"/>
    <col min="29" max="31" width="3" style="10" bestFit="1" customWidth="1"/>
    <col min="32" max="32" width="3.109375" style="11" customWidth="1"/>
    <col min="33" max="33" width="3" style="11" customWidth="1"/>
    <col min="34" max="36" width="3" style="10" bestFit="1" customWidth="1"/>
    <col min="37" max="38" width="3" style="10" customWidth="1"/>
    <col min="39" max="43" width="3" style="10" bestFit="1" customWidth="1"/>
    <col min="44" max="44" width="3" style="10" customWidth="1"/>
    <col min="45" max="46" width="3" style="10" bestFit="1" customWidth="1"/>
    <col min="47" max="47" width="3" style="10" customWidth="1"/>
    <col min="48" max="48" width="3" style="10" bestFit="1" customWidth="1"/>
    <col min="49" max="49" width="3" style="10" customWidth="1"/>
    <col min="50" max="50" width="3" style="10" bestFit="1" customWidth="1"/>
    <col min="51" max="51" width="4" style="10" customWidth="1"/>
    <col min="52" max="58" width="3" style="10" bestFit="1" customWidth="1"/>
    <col min="59" max="61" width="3" style="10" customWidth="1"/>
    <col min="62" max="65" width="3" style="10" bestFit="1" customWidth="1"/>
    <col min="66" max="66" width="3" bestFit="1" customWidth="1"/>
  </cols>
  <sheetData>
    <row r="1" spans="1:67" s="7" customFormat="1" ht="111" thickBot="1" x14ac:dyDescent="0.3">
      <c r="A1" s="20" t="s">
        <v>134</v>
      </c>
      <c r="B1" s="117" t="s">
        <v>229</v>
      </c>
      <c r="C1" s="119" t="s">
        <v>43</v>
      </c>
      <c r="D1" s="120" t="s">
        <v>3</v>
      </c>
      <c r="E1" s="120" t="s">
        <v>9</v>
      </c>
      <c r="F1" s="121" t="s">
        <v>77</v>
      </c>
      <c r="G1" s="120" t="s">
        <v>92</v>
      </c>
      <c r="H1" s="120" t="s">
        <v>94</v>
      </c>
      <c r="I1" s="120" t="s">
        <v>2</v>
      </c>
      <c r="J1" s="120" t="s">
        <v>6</v>
      </c>
      <c r="K1" s="121" t="s">
        <v>5</v>
      </c>
      <c r="L1" s="121" t="s">
        <v>66</v>
      </c>
      <c r="M1" s="120" t="s">
        <v>111</v>
      </c>
      <c r="N1" s="121" t="s">
        <v>14</v>
      </c>
      <c r="O1" s="120" t="s">
        <v>116</v>
      </c>
      <c r="P1" s="120" t="s">
        <v>109</v>
      </c>
      <c r="Q1" s="121" t="s">
        <v>44</v>
      </c>
      <c r="R1" s="121" t="s">
        <v>64</v>
      </c>
      <c r="S1" s="122" t="s">
        <v>33</v>
      </c>
      <c r="T1" s="120" t="s">
        <v>16</v>
      </c>
      <c r="U1" s="120" t="s">
        <v>45</v>
      </c>
      <c r="V1" s="120" t="s">
        <v>46</v>
      </c>
      <c r="W1" s="120" t="s">
        <v>201</v>
      </c>
      <c r="X1" s="120" t="s">
        <v>47</v>
      </c>
      <c r="Y1" s="120" t="s">
        <v>98</v>
      </c>
      <c r="Z1" s="121" t="s">
        <v>48</v>
      </c>
      <c r="AA1" s="120" t="s">
        <v>18</v>
      </c>
      <c r="AB1" s="121" t="s">
        <v>173</v>
      </c>
      <c r="AC1" s="120" t="s">
        <v>7</v>
      </c>
      <c r="AD1" s="120" t="s">
        <v>32</v>
      </c>
      <c r="AE1" s="120" t="s">
        <v>34</v>
      </c>
      <c r="AF1" s="121" t="s">
        <v>19</v>
      </c>
      <c r="AG1" s="120" t="s">
        <v>8</v>
      </c>
      <c r="AH1" s="120" t="s">
        <v>11</v>
      </c>
      <c r="AI1" s="120" t="s">
        <v>49</v>
      </c>
      <c r="AJ1" s="120" t="s">
        <v>13</v>
      </c>
      <c r="AK1" s="120" t="s">
        <v>76</v>
      </c>
      <c r="AL1" s="121" t="s">
        <v>97</v>
      </c>
      <c r="AM1" s="120" t="s">
        <v>50</v>
      </c>
      <c r="AN1" s="121" t="s">
        <v>51</v>
      </c>
      <c r="AO1" s="120" t="s">
        <v>52</v>
      </c>
      <c r="AP1" s="120" t="s">
        <v>53</v>
      </c>
      <c r="AQ1" s="121" t="s">
        <v>401</v>
      </c>
      <c r="AR1" s="120" t="s">
        <v>65</v>
      </c>
      <c r="AS1" s="120" t="s">
        <v>54</v>
      </c>
      <c r="AT1" s="121" t="s">
        <v>99</v>
      </c>
      <c r="AU1" s="120" t="s">
        <v>75</v>
      </c>
      <c r="AV1" s="120" t="s">
        <v>55</v>
      </c>
      <c r="AW1" s="120" t="s">
        <v>113</v>
      </c>
      <c r="AX1" s="120" t="s">
        <v>56</v>
      </c>
      <c r="AY1" s="121" t="s">
        <v>1</v>
      </c>
      <c r="AZ1" s="120" t="s">
        <v>35</v>
      </c>
      <c r="BA1" s="120" t="s">
        <v>57</v>
      </c>
      <c r="BB1" s="120" t="s">
        <v>58</v>
      </c>
      <c r="BC1" s="120" t="s">
        <v>59</v>
      </c>
      <c r="BD1" s="120" t="s">
        <v>60</v>
      </c>
      <c r="BE1" s="120" t="s">
        <v>67</v>
      </c>
      <c r="BF1" s="121" t="s">
        <v>10</v>
      </c>
      <c r="BG1" s="120" t="s">
        <v>93</v>
      </c>
      <c r="BH1" s="120" t="s">
        <v>91</v>
      </c>
      <c r="BI1" s="120" t="s">
        <v>61</v>
      </c>
      <c r="BJ1" s="120" t="s">
        <v>4</v>
      </c>
      <c r="BK1" s="120" t="s">
        <v>20</v>
      </c>
      <c r="BL1" s="120" t="s">
        <v>12</v>
      </c>
      <c r="BM1" s="120" t="s">
        <v>62</v>
      </c>
      <c r="BN1" s="120" t="s">
        <v>17</v>
      </c>
    </row>
    <row r="2" spans="1:67" x14ac:dyDescent="0.25">
      <c r="A2" s="111" t="s">
        <v>226</v>
      </c>
      <c r="B2" s="118">
        <f>COUNTA(C2:BN2)</f>
        <v>2</v>
      </c>
      <c r="C2" s="401"/>
      <c r="D2" s="402"/>
      <c r="E2" s="402"/>
      <c r="F2" s="402"/>
      <c r="G2" s="402"/>
      <c r="H2" s="402"/>
      <c r="I2" s="402"/>
      <c r="J2" s="402"/>
      <c r="K2" s="402">
        <v>2</v>
      </c>
      <c r="L2" s="402"/>
      <c r="M2" s="402"/>
      <c r="N2" s="402"/>
      <c r="O2" s="402"/>
      <c r="P2" s="402"/>
      <c r="Q2" s="402"/>
      <c r="R2" s="402"/>
      <c r="S2" s="402"/>
      <c r="T2" s="402"/>
      <c r="U2" s="402"/>
      <c r="V2" s="402"/>
      <c r="W2" s="402"/>
      <c r="X2" s="402"/>
      <c r="Y2" s="402"/>
      <c r="Z2" s="402"/>
      <c r="AA2" s="402"/>
      <c r="AB2" s="402"/>
      <c r="AC2" s="402"/>
      <c r="AD2" s="402"/>
      <c r="AE2" s="402"/>
      <c r="AF2" s="402"/>
      <c r="AG2" s="402"/>
      <c r="AH2" s="402"/>
      <c r="AI2" s="402"/>
      <c r="AJ2" s="402"/>
      <c r="AK2" s="402"/>
      <c r="AL2" s="402"/>
      <c r="AM2" s="402"/>
      <c r="AN2" s="402"/>
      <c r="AO2" s="402"/>
      <c r="AP2" s="402"/>
      <c r="AQ2" s="402"/>
      <c r="AR2" s="402"/>
      <c r="AS2" s="402"/>
      <c r="AT2" s="402"/>
      <c r="AU2" s="402"/>
      <c r="AV2" s="402"/>
      <c r="AW2" s="402"/>
      <c r="AX2" s="402"/>
      <c r="AY2" s="402">
        <v>1</v>
      </c>
      <c r="AZ2" s="402"/>
      <c r="BA2" s="402"/>
      <c r="BB2" s="402"/>
      <c r="BC2" s="402"/>
      <c r="BD2" s="402"/>
      <c r="BE2" s="402"/>
      <c r="BF2" s="402"/>
      <c r="BG2" s="402"/>
      <c r="BH2" s="402"/>
      <c r="BI2" s="402"/>
      <c r="BJ2" s="402"/>
      <c r="BK2" s="402"/>
      <c r="BL2" s="402"/>
      <c r="BM2" s="402"/>
      <c r="BN2" s="404"/>
      <c r="BO2" s="8">
        <f t="shared" ref="BO2:BO46" si="0">SUM(C2:BN2)</f>
        <v>3</v>
      </c>
    </row>
    <row r="3" spans="1:67" x14ac:dyDescent="0.25">
      <c r="A3" s="62" t="s">
        <v>118</v>
      </c>
      <c r="B3" s="118">
        <f>COUNTA(C3:BN3)</f>
        <v>3</v>
      </c>
      <c r="C3" s="401"/>
      <c r="D3" s="402"/>
      <c r="E3" s="402"/>
      <c r="F3" s="402"/>
      <c r="G3" s="402"/>
      <c r="H3" s="402"/>
      <c r="I3" s="402"/>
      <c r="J3" s="402"/>
      <c r="K3" s="402">
        <v>1</v>
      </c>
      <c r="L3" s="402"/>
      <c r="M3" s="402"/>
      <c r="N3" s="402"/>
      <c r="O3" s="402"/>
      <c r="P3" s="402"/>
      <c r="Q3" s="402"/>
      <c r="R3" s="402"/>
      <c r="S3" s="402"/>
      <c r="T3" s="402"/>
      <c r="U3" s="402"/>
      <c r="V3" s="402"/>
      <c r="W3" s="402"/>
      <c r="X3" s="402"/>
      <c r="Y3" s="402"/>
      <c r="Z3" s="402"/>
      <c r="AA3" s="402"/>
      <c r="AB3" s="402">
        <v>2</v>
      </c>
      <c r="AC3" s="402"/>
      <c r="AD3" s="402"/>
      <c r="AE3" s="402"/>
      <c r="AF3" s="402"/>
      <c r="AG3" s="402"/>
      <c r="AH3" s="402"/>
      <c r="AI3" s="402"/>
      <c r="AJ3" s="402"/>
      <c r="AK3" s="402"/>
      <c r="AL3" s="402"/>
      <c r="AM3" s="402"/>
      <c r="AN3" s="402"/>
      <c r="AO3" s="402"/>
      <c r="AP3" s="402"/>
      <c r="AQ3" s="402"/>
      <c r="AR3" s="402"/>
      <c r="AS3" s="402"/>
      <c r="AT3" s="402"/>
      <c r="AU3" s="402"/>
      <c r="AV3" s="402"/>
      <c r="AW3" s="402"/>
      <c r="AX3" s="402"/>
      <c r="AY3" s="402">
        <v>8</v>
      </c>
      <c r="AZ3" s="402"/>
      <c r="BA3" s="402"/>
      <c r="BB3" s="402"/>
      <c r="BC3" s="402"/>
      <c r="BD3" s="402"/>
      <c r="BE3" s="402"/>
      <c r="BF3" s="402"/>
      <c r="BG3" s="402"/>
      <c r="BH3" s="402"/>
      <c r="BI3" s="402"/>
      <c r="BJ3" s="402"/>
      <c r="BK3" s="402"/>
      <c r="BL3" s="402"/>
      <c r="BM3" s="402"/>
      <c r="BN3" s="404"/>
      <c r="BO3" s="8">
        <f t="shared" si="0"/>
        <v>11</v>
      </c>
    </row>
    <row r="4" spans="1:67" x14ac:dyDescent="0.25">
      <c r="A4" s="60" t="s">
        <v>124</v>
      </c>
      <c r="B4" s="118">
        <f>COUNTA(C4:BN4)</f>
        <v>2</v>
      </c>
      <c r="C4" s="401"/>
      <c r="D4" s="402"/>
      <c r="E4" s="402"/>
      <c r="F4" s="402"/>
      <c r="G4" s="402"/>
      <c r="H4" s="402"/>
      <c r="I4" s="402"/>
      <c r="J4" s="402"/>
      <c r="K4" s="402"/>
      <c r="L4" s="402"/>
      <c r="M4" s="402"/>
      <c r="N4" s="402"/>
      <c r="O4" s="402"/>
      <c r="P4" s="402"/>
      <c r="Q4" s="403"/>
      <c r="R4" s="402"/>
      <c r="S4" s="402"/>
      <c r="T4" s="402"/>
      <c r="U4" s="402"/>
      <c r="V4" s="402"/>
      <c r="W4" s="402"/>
      <c r="X4" s="402"/>
      <c r="Y4" s="402"/>
      <c r="Z4" s="402"/>
      <c r="AA4" s="402"/>
      <c r="AB4" s="402">
        <v>1</v>
      </c>
      <c r="AC4" s="402"/>
      <c r="AD4" s="402"/>
      <c r="AE4" s="402"/>
      <c r="AF4" s="403"/>
      <c r="AG4" s="403"/>
      <c r="AH4" s="402"/>
      <c r="AI4" s="402"/>
      <c r="AJ4" s="402"/>
      <c r="AK4" s="402"/>
      <c r="AL4" s="402"/>
      <c r="AM4" s="402"/>
      <c r="AN4" s="402"/>
      <c r="AO4" s="402"/>
      <c r="AP4" s="402"/>
      <c r="AQ4" s="402"/>
      <c r="AR4" s="402"/>
      <c r="AS4" s="402"/>
      <c r="AT4" s="402"/>
      <c r="AU4" s="402"/>
      <c r="AV4" s="402"/>
      <c r="AW4" s="402"/>
      <c r="AX4" s="402"/>
      <c r="AY4" s="402">
        <v>3</v>
      </c>
      <c r="AZ4" s="402"/>
      <c r="BA4" s="402"/>
      <c r="BB4" s="402"/>
      <c r="BC4" s="402"/>
      <c r="BD4" s="402"/>
      <c r="BE4" s="402"/>
      <c r="BF4" s="402"/>
      <c r="BG4" s="402"/>
      <c r="BH4" s="402"/>
      <c r="BI4" s="402"/>
      <c r="BJ4" s="402"/>
      <c r="BK4" s="402"/>
      <c r="BL4" s="402"/>
      <c r="BM4" s="402"/>
      <c r="BN4" s="404"/>
      <c r="BO4" s="8">
        <f t="shared" si="0"/>
        <v>4</v>
      </c>
    </row>
    <row r="5" spans="1:67" x14ac:dyDescent="0.25">
      <c r="A5" s="60" t="s">
        <v>409</v>
      </c>
      <c r="B5" s="118">
        <f>COUNTA(C5:BN5)</f>
        <v>1</v>
      </c>
      <c r="C5" s="401"/>
      <c r="D5" s="402"/>
      <c r="E5" s="402"/>
      <c r="F5" s="402"/>
      <c r="G5" s="402"/>
      <c r="H5" s="402"/>
      <c r="I5" s="402"/>
      <c r="J5" s="402"/>
      <c r="K5" s="402"/>
      <c r="L5" s="402"/>
      <c r="M5" s="402"/>
      <c r="N5" s="402"/>
      <c r="O5" s="402"/>
      <c r="P5" s="402"/>
      <c r="Q5" s="403"/>
      <c r="R5" s="402"/>
      <c r="S5" s="402"/>
      <c r="T5" s="402"/>
      <c r="U5" s="402"/>
      <c r="V5" s="402"/>
      <c r="W5" s="402"/>
      <c r="X5" s="402"/>
      <c r="Y5" s="402"/>
      <c r="Z5" s="402"/>
      <c r="AA5" s="402"/>
      <c r="AB5" s="402"/>
      <c r="AC5" s="402"/>
      <c r="AD5" s="402"/>
      <c r="AE5" s="402"/>
      <c r="AF5" s="403"/>
      <c r="AG5" s="403"/>
      <c r="AH5" s="402"/>
      <c r="AI5" s="402"/>
      <c r="AJ5" s="402"/>
      <c r="AK5" s="402"/>
      <c r="AL5" s="402"/>
      <c r="AM5" s="402"/>
      <c r="AN5" s="402"/>
      <c r="AO5" s="402"/>
      <c r="AP5" s="402"/>
      <c r="AQ5" s="402"/>
      <c r="AR5" s="402"/>
      <c r="AS5" s="402"/>
      <c r="AT5" s="402"/>
      <c r="AU5" s="402"/>
      <c r="AV5" s="402"/>
      <c r="AW5" s="402"/>
      <c r="AX5" s="402"/>
      <c r="AY5" s="402">
        <v>4</v>
      </c>
      <c r="AZ5" s="402"/>
      <c r="BA5" s="402"/>
      <c r="BB5" s="402"/>
      <c r="BC5" s="402"/>
      <c r="BD5" s="402"/>
      <c r="BE5" s="402"/>
      <c r="BF5" s="402"/>
      <c r="BG5" s="402"/>
      <c r="BH5" s="402"/>
      <c r="BI5" s="402"/>
      <c r="BJ5" s="402"/>
      <c r="BK5" s="402"/>
      <c r="BL5" s="402"/>
      <c r="BM5" s="402"/>
      <c r="BN5" s="404"/>
      <c r="BO5" s="8">
        <f t="shared" si="0"/>
        <v>4</v>
      </c>
    </row>
    <row r="6" spans="1:67" x14ac:dyDescent="0.25">
      <c r="A6" s="61" t="s">
        <v>179</v>
      </c>
      <c r="B6" s="118">
        <f t="shared" ref="B6:B46" si="1">COUNTA(C6:BN6)</f>
        <v>4</v>
      </c>
      <c r="C6" s="401"/>
      <c r="D6" s="402"/>
      <c r="E6" s="402"/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>
        <v>1</v>
      </c>
      <c r="R6" s="402"/>
      <c r="S6" s="402"/>
      <c r="T6" s="402"/>
      <c r="U6" s="402"/>
      <c r="V6" s="402"/>
      <c r="W6" s="402"/>
      <c r="X6" s="402"/>
      <c r="Y6" s="402"/>
      <c r="Z6" s="402"/>
      <c r="AA6" s="402"/>
      <c r="AB6" s="402">
        <v>2</v>
      </c>
      <c r="AC6" s="402"/>
      <c r="AD6" s="402"/>
      <c r="AE6" s="402"/>
      <c r="AF6" s="402">
        <v>1</v>
      </c>
      <c r="AG6" s="402"/>
      <c r="AH6" s="402"/>
      <c r="AI6" s="402"/>
      <c r="AJ6" s="402"/>
      <c r="AK6" s="402"/>
      <c r="AL6" s="402"/>
      <c r="AM6" s="402"/>
      <c r="AN6" s="402"/>
      <c r="AO6" s="402"/>
      <c r="AP6" s="402"/>
      <c r="AQ6" s="402"/>
      <c r="AR6" s="402"/>
      <c r="AS6" s="402"/>
      <c r="AT6" s="402"/>
      <c r="AU6" s="402"/>
      <c r="AV6" s="402"/>
      <c r="AW6" s="402"/>
      <c r="AX6" s="402"/>
      <c r="AY6" s="402">
        <v>2</v>
      </c>
      <c r="AZ6" s="402"/>
      <c r="BA6" s="402"/>
      <c r="BB6" s="402"/>
      <c r="BC6" s="402"/>
      <c r="BD6" s="402"/>
      <c r="BE6" s="402"/>
      <c r="BF6" s="402"/>
      <c r="BG6" s="402"/>
      <c r="BH6" s="402"/>
      <c r="BI6" s="402"/>
      <c r="BJ6" s="402"/>
      <c r="BK6" s="402"/>
      <c r="BL6" s="402"/>
      <c r="BM6" s="402"/>
      <c r="BN6" s="404"/>
      <c r="BO6" s="8">
        <f t="shared" si="0"/>
        <v>6</v>
      </c>
    </row>
    <row r="7" spans="1:67" x14ac:dyDescent="0.25">
      <c r="A7" s="60" t="s">
        <v>121</v>
      </c>
      <c r="B7" s="118">
        <f t="shared" si="1"/>
        <v>3</v>
      </c>
      <c r="C7" s="401"/>
      <c r="D7" s="402"/>
      <c r="E7" s="402"/>
      <c r="F7" s="402"/>
      <c r="G7" s="402"/>
      <c r="H7" s="402"/>
      <c r="I7" s="402"/>
      <c r="J7" s="402"/>
      <c r="K7" s="402">
        <v>1</v>
      </c>
      <c r="L7" s="402"/>
      <c r="M7" s="402"/>
      <c r="N7" s="402"/>
      <c r="O7" s="402"/>
      <c r="P7" s="402"/>
      <c r="Q7" s="403"/>
      <c r="R7" s="402"/>
      <c r="S7" s="402"/>
      <c r="T7" s="402"/>
      <c r="U7" s="402"/>
      <c r="V7" s="403"/>
      <c r="W7" s="403"/>
      <c r="X7" s="403"/>
      <c r="Y7" s="403"/>
      <c r="Z7" s="402"/>
      <c r="AA7" s="402"/>
      <c r="AB7" s="402">
        <v>2</v>
      </c>
      <c r="AC7" s="402"/>
      <c r="AD7" s="402"/>
      <c r="AE7" s="402"/>
      <c r="AF7" s="403"/>
      <c r="AG7" s="403"/>
      <c r="AH7" s="402"/>
      <c r="AI7" s="402"/>
      <c r="AJ7" s="402"/>
      <c r="AK7" s="402"/>
      <c r="AL7" s="402"/>
      <c r="AM7" s="402"/>
      <c r="AN7" s="402"/>
      <c r="AO7" s="402"/>
      <c r="AP7" s="402"/>
      <c r="AQ7" s="402"/>
      <c r="AR7" s="402"/>
      <c r="AS7" s="402"/>
      <c r="AT7" s="402"/>
      <c r="AU7" s="402"/>
      <c r="AV7" s="402"/>
      <c r="AW7" s="402"/>
      <c r="AX7" s="402"/>
      <c r="AY7" s="402">
        <v>3</v>
      </c>
      <c r="AZ7" s="402"/>
      <c r="BA7" s="402"/>
      <c r="BB7" s="402"/>
      <c r="BC7" s="402"/>
      <c r="BD7" s="402"/>
      <c r="BE7" s="402"/>
      <c r="BF7" s="402"/>
      <c r="BG7" s="402"/>
      <c r="BH7" s="402"/>
      <c r="BI7" s="402"/>
      <c r="BJ7" s="402"/>
      <c r="BK7" s="402"/>
      <c r="BL7" s="402"/>
      <c r="BM7" s="402"/>
      <c r="BN7" s="404"/>
      <c r="BO7" s="8">
        <f t="shared" si="0"/>
        <v>6</v>
      </c>
    </row>
    <row r="8" spans="1:67" x14ac:dyDescent="0.25">
      <c r="A8" s="62" t="s">
        <v>114</v>
      </c>
      <c r="B8" s="118">
        <f t="shared" si="1"/>
        <v>3</v>
      </c>
      <c r="C8" s="401"/>
      <c r="D8" s="402"/>
      <c r="E8" s="402"/>
      <c r="F8" s="402"/>
      <c r="G8" s="402"/>
      <c r="H8" s="402"/>
      <c r="I8" s="402"/>
      <c r="J8" s="402"/>
      <c r="K8" s="402">
        <v>1</v>
      </c>
      <c r="L8" s="402"/>
      <c r="M8" s="402"/>
      <c r="N8" s="402"/>
      <c r="O8" s="402"/>
      <c r="P8" s="402"/>
      <c r="Q8" s="402"/>
      <c r="R8" s="402"/>
      <c r="S8" s="402"/>
      <c r="T8" s="402"/>
      <c r="U8" s="402"/>
      <c r="V8" s="402"/>
      <c r="W8" s="402"/>
      <c r="X8" s="402"/>
      <c r="Y8" s="402"/>
      <c r="Z8" s="402"/>
      <c r="AA8" s="402"/>
      <c r="AB8" s="402">
        <v>1</v>
      </c>
      <c r="AC8" s="402"/>
      <c r="AD8" s="402"/>
      <c r="AE8" s="402"/>
      <c r="AF8" s="402"/>
      <c r="AG8" s="402"/>
      <c r="AH8" s="402"/>
      <c r="AI8" s="402"/>
      <c r="AJ8" s="402"/>
      <c r="AK8" s="402"/>
      <c r="AL8" s="402"/>
      <c r="AM8" s="402"/>
      <c r="AN8" s="402"/>
      <c r="AO8" s="402"/>
      <c r="AP8" s="402"/>
      <c r="AQ8" s="402"/>
      <c r="AR8" s="402"/>
      <c r="AS8" s="402"/>
      <c r="AT8" s="402"/>
      <c r="AU8" s="402"/>
      <c r="AV8" s="402"/>
      <c r="AW8" s="402"/>
      <c r="AX8" s="402"/>
      <c r="AY8" s="402">
        <v>6</v>
      </c>
      <c r="AZ8" s="402"/>
      <c r="BA8" s="402"/>
      <c r="BB8" s="402"/>
      <c r="BC8" s="402"/>
      <c r="BD8" s="402"/>
      <c r="BE8" s="402"/>
      <c r="BF8" s="402"/>
      <c r="BG8" s="402"/>
      <c r="BH8" s="402"/>
      <c r="BI8" s="402"/>
      <c r="BJ8" s="402"/>
      <c r="BK8" s="402"/>
      <c r="BL8" s="402"/>
      <c r="BM8" s="402"/>
      <c r="BN8" s="404"/>
      <c r="BO8" s="8">
        <f t="shared" si="0"/>
        <v>8</v>
      </c>
    </row>
    <row r="9" spans="1:67" x14ac:dyDescent="0.25">
      <c r="A9" s="62" t="s">
        <v>117</v>
      </c>
      <c r="B9" s="118">
        <f t="shared" si="1"/>
        <v>4</v>
      </c>
      <c r="C9" s="401"/>
      <c r="D9" s="402"/>
      <c r="E9" s="402"/>
      <c r="F9" s="402"/>
      <c r="G9" s="402"/>
      <c r="H9" s="402"/>
      <c r="I9" s="402"/>
      <c r="J9" s="402"/>
      <c r="K9" s="402">
        <v>1</v>
      </c>
      <c r="L9" s="402"/>
      <c r="M9" s="402"/>
      <c r="N9" s="402"/>
      <c r="O9" s="402"/>
      <c r="P9" s="402"/>
      <c r="Q9" s="402">
        <v>1</v>
      </c>
      <c r="R9" s="402"/>
      <c r="S9" s="402"/>
      <c r="T9" s="402"/>
      <c r="U9" s="402"/>
      <c r="V9" s="402"/>
      <c r="W9" s="402"/>
      <c r="X9" s="402"/>
      <c r="Y9" s="402"/>
      <c r="Z9" s="402"/>
      <c r="AA9" s="402"/>
      <c r="AB9" s="402">
        <v>1</v>
      </c>
      <c r="AC9" s="402"/>
      <c r="AD9" s="402"/>
      <c r="AE9" s="402"/>
      <c r="AF9" s="402"/>
      <c r="AG9" s="402"/>
      <c r="AH9" s="402"/>
      <c r="AI9" s="402"/>
      <c r="AJ9" s="402"/>
      <c r="AK9" s="402"/>
      <c r="AL9" s="402"/>
      <c r="AM9" s="402"/>
      <c r="AN9" s="402"/>
      <c r="AO9" s="402"/>
      <c r="AP9" s="402"/>
      <c r="AQ9" s="402"/>
      <c r="AR9" s="402"/>
      <c r="AS9" s="402"/>
      <c r="AT9" s="402"/>
      <c r="AU9" s="402"/>
      <c r="AV9" s="402"/>
      <c r="AW9" s="402"/>
      <c r="AX9" s="402"/>
      <c r="AY9" s="402">
        <v>5</v>
      </c>
      <c r="AZ9" s="402"/>
      <c r="BA9" s="402"/>
      <c r="BB9" s="402"/>
      <c r="BC9" s="402"/>
      <c r="BD9" s="402"/>
      <c r="BE9" s="402"/>
      <c r="BF9" s="402"/>
      <c r="BG9" s="402"/>
      <c r="BH9" s="402"/>
      <c r="BI9" s="402"/>
      <c r="BJ9" s="402"/>
      <c r="BK9" s="402"/>
      <c r="BL9" s="402"/>
      <c r="BM9" s="402"/>
      <c r="BN9" s="404"/>
      <c r="BO9" s="8">
        <f t="shared" si="0"/>
        <v>8</v>
      </c>
    </row>
    <row r="10" spans="1:67" x14ac:dyDescent="0.25">
      <c r="A10" s="60" t="s">
        <v>128</v>
      </c>
      <c r="B10" s="118">
        <f t="shared" si="1"/>
        <v>1</v>
      </c>
      <c r="C10" s="401"/>
      <c r="D10" s="402"/>
      <c r="E10" s="402"/>
      <c r="F10" s="402"/>
      <c r="G10" s="402"/>
      <c r="H10" s="402"/>
      <c r="I10" s="402"/>
      <c r="J10" s="402"/>
      <c r="K10" s="402"/>
      <c r="L10" s="402"/>
      <c r="M10" s="402"/>
      <c r="N10" s="402"/>
      <c r="O10" s="402"/>
      <c r="P10" s="402"/>
      <c r="Q10" s="402"/>
      <c r="R10" s="402"/>
      <c r="S10" s="402"/>
      <c r="T10" s="402"/>
      <c r="U10" s="402"/>
      <c r="V10" s="402"/>
      <c r="W10" s="402"/>
      <c r="X10" s="402"/>
      <c r="Y10" s="402"/>
      <c r="Z10" s="402"/>
      <c r="AA10" s="402"/>
      <c r="AB10" s="402"/>
      <c r="AC10" s="402"/>
      <c r="AD10" s="402"/>
      <c r="AE10" s="402"/>
      <c r="AF10" s="402"/>
      <c r="AG10" s="402"/>
      <c r="AH10" s="402"/>
      <c r="AI10" s="402"/>
      <c r="AJ10" s="402"/>
      <c r="AK10" s="402"/>
      <c r="AL10" s="402"/>
      <c r="AM10" s="402"/>
      <c r="AN10" s="402"/>
      <c r="AO10" s="402"/>
      <c r="AP10" s="402"/>
      <c r="AQ10" s="402"/>
      <c r="AR10" s="402"/>
      <c r="AS10" s="402"/>
      <c r="AT10" s="402"/>
      <c r="AU10" s="402"/>
      <c r="AV10" s="402"/>
      <c r="AW10" s="402"/>
      <c r="AX10" s="402"/>
      <c r="AY10" s="402">
        <v>2</v>
      </c>
      <c r="AZ10" s="402"/>
      <c r="BA10" s="402"/>
      <c r="BB10" s="402"/>
      <c r="BC10" s="402"/>
      <c r="BD10" s="402"/>
      <c r="BE10" s="402"/>
      <c r="BF10" s="402"/>
      <c r="BG10" s="402"/>
      <c r="BH10" s="402"/>
      <c r="BI10" s="402"/>
      <c r="BJ10" s="402"/>
      <c r="BK10" s="402"/>
      <c r="BL10" s="402"/>
      <c r="BM10" s="402"/>
      <c r="BN10" s="404"/>
      <c r="BO10" s="8">
        <f t="shared" si="0"/>
        <v>2</v>
      </c>
    </row>
    <row r="11" spans="1:67" x14ac:dyDescent="0.25">
      <c r="A11" s="60" t="s">
        <v>276</v>
      </c>
      <c r="B11" s="118">
        <f t="shared" si="1"/>
        <v>1</v>
      </c>
      <c r="C11" s="401"/>
      <c r="D11" s="402"/>
      <c r="E11" s="402"/>
      <c r="F11" s="402"/>
      <c r="G11" s="402"/>
      <c r="H11" s="402"/>
      <c r="I11" s="402"/>
      <c r="J11" s="402"/>
      <c r="K11" s="402"/>
      <c r="L11" s="402"/>
      <c r="M11" s="402"/>
      <c r="N11" s="402"/>
      <c r="O11" s="402"/>
      <c r="P11" s="402"/>
      <c r="Q11" s="402"/>
      <c r="R11" s="402"/>
      <c r="S11" s="402"/>
      <c r="T11" s="402"/>
      <c r="U11" s="402"/>
      <c r="V11" s="402"/>
      <c r="W11" s="402"/>
      <c r="X11" s="402"/>
      <c r="Y11" s="402"/>
      <c r="Z11" s="402"/>
      <c r="AA11" s="402"/>
      <c r="AB11" s="402"/>
      <c r="AC11" s="402"/>
      <c r="AD11" s="402"/>
      <c r="AE11" s="402"/>
      <c r="AF11" s="402"/>
      <c r="AG11" s="402"/>
      <c r="AH11" s="402"/>
      <c r="AI11" s="402"/>
      <c r="AJ11" s="402"/>
      <c r="AK11" s="402"/>
      <c r="AL11" s="402"/>
      <c r="AM11" s="402"/>
      <c r="AN11" s="402"/>
      <c r="AO11" s="402"/>
      <c r="AP11" s="402"/>
      <c r="AQ11" s="402"/>
      <c r="AR11" s="402"/>
      <c r="AS11" s="402"/>
      <c r="AT11" s="402"/>
      <c r="AU11" s="402"/>
      <c r="AV11" s="402"/>
      <c r="AW11" s="402"/>
      <c r="AX11" s="402"/>
      <c r="AY11" s="402">
        <v>2</v>
      </c>
      <c r="AZ11" s="402"/>
      <c r="BA11" s="402"/>
      <c r="BB11" s="402"/>
      <c r="BC11" s="402"/>
      <c r="BD11" s="402"/>
      <c r="BE11" s="402"/>
      <c r="BF11" s="402"/>
      <c r="BG11" s="402"/>
      <c r="BH11" s="402"/>
      <c r="BI11" s="402"/>
      <c r="BJ11" s="402"/>
      <c r="BK11" s="402"/>
      <c r="BL11" s="402"/>
      <c r="BM11" s="402"/>
      <c r="BN11" s="404"/>
      <c r="BO11" s="8">
        <f t="shared" si="0"/>
        <v>2</v>
      </c>
    </row>
    <row r="12" spans="1:67" x14ac:dyDescent="0.25">
      <c r="A12" s="100" t="s">
        <v>637</v>
      </c>
      <c r="B12" s="118">
        <f t="shared" si="1"/>
        <v>1</v>
      </c>
      <c r="C12" s="401"/>
      <c r="D12" s="402"/>
      <c r="E12" s="402"/>
      <c r="F12" s="402"/>
      <c r="G12" s="402"/>
      <c r="H12" s="402"/>
      <c r="I12" s="402"/>
      <c r="J12" s="402"/>
      <c r="K12" s="402"/>
      <c r="L12" s="402"/>
      <c r="M12" s="402"/>
      <c r="N12" s="402"/>
      <c r="O12" s="402"/>
      <c r="P12" s="402"/>
      <c r="Q12" s="402"/>
      <c r="R12" s="402"/>
      <c r="S12" s="402"/>
      <c r="T12" s="402"/>
      <c r="U12" s="402"/>
      <c r="V12" s="402"/>
      <c r="W12" s="402"/>
      <c r="X12" s="402"/>
      <c r="Y12" s="402"/>
      <c r="Z12" s="402"/>
      <c r="AA12" s="402"/>
      <c r="AB12" s="402"/>
      <c r="AC12" s="402"/>
      <c r="AD12" s="402"/>
      <c r="AE12" s="402"/>
      <c r="AF12" s="402"/>
      <c r="AG12" s="402"/>
      <c r="AH12" s="402"/>
      <c r="AI12" s="402"/>
      <c r="AJ12" s="402"/>
      <c r="AK12" s="402"/>
      <c r="AL12" s="402"/>
      <c r="AM12" s="402"/>
      <c r="AN12" s="402"/>
      <c r="AO12" s="402"/>
      <c r="AP12" s="402"/>
      <c r="AQ12" s="402"/>
      <c r="AR12" s="402"/>
      <c r="AS12" s="402"/>
      <c r="AT12" s="402"/>
      <c r="AU12" s="402"/>
      <c r="AV12" s="402"/>
      <c r="AW12" s="402"/>
      <c r="AX12" s="402"/>
      <c r="AY12" s="402">
        <v>2</v>
      </c>
      <c r="AZ12" s="402"/>
      <c r="BA12" s="402"/>
      <c r="BB12" s="402"/>
      <c r="BC12" s="402"/>
      <c r="BD12" s="402"/>
      <c r="BE12" s="402"/>
      <c r="BF12" s="402"/>
      <c r="BG12" s="402"/>
      <c r="BH12" s="402"/>
      <c r="BI12" s="402"/>
      <c r="BJ12" s="402"/>
      <c r="BK12" s="402"/>
      <c r="BL12" s="402"/>
      <c r="BM12" s="402"/>
      <c r="BN12" s="404"/>
      <c r="BO12" s="8">
        <f t="shared" si="0"/>
        <v>2</v>
      </c>
    </row>
    <row r="13" spans="1:67" x14ac:dyDescent="0.25">
      <c r="A13" s="100" t="s">
        <v>126</v>
      </c>
      <c r="B13" s="118">
        <f t="shared" si="1"/>
        <v>1</v>
      </c>
      <c r="C13" s="401"/>
      <c r="D13" s="402"/>
      <c r="E13" s="402"/>
      <c r="F13" s="402"/>
      <c r="G13" s="402"/>
      <c r="H13" s="402"/>
      <c r="I13" s="402"/>
      <c r="J13" s="402"/>
      <c r="K13" s="402"/>
      <c r="L13" s="402"/>
      <c r="M13" s="402"/>
      <c r="N13" s="402"/>
      <c r="O13" s="402"/>
      <c r="P13" s="402"/>
      <c r="Q13" s="402"/>
      <c r="R13" s="402"/>
      <c r="S13" s="402"/>
      <c r="T13" s="402"/>
      <c r="U13" s="402"/>
      <c r="V13" s="402"/>
      <c r="W13" s="402"/>
      <c r="X13" s="402"/>
      <c r="Y13" s="402"/>
      <c r="Z13" s="402"/>
      <c r="AA13" s="402"/>
      <c r="AB13" s="402"/>
      <c r="AC13" s="402"/>
      <c r="AD13" s="402"/>
      <c r="AE13" s="402"/>
      <c r="AF13" s="402"/>
      <c r="AG13" s="402"/>
      <c r="AH13" s="402"/>
      <c r="AI13" s="402"/>
      <c r="AJ13" s="402"/>
      <c r="AK13" s="402"/>
      <c r="AL13" s="402"/>
      <c r="AM13" s="402"/>
      <c r="AN13" s="402"/>
      <c r="AO13" s="402"/>
      <c r="AP13" s="402"/>
      <c r="AQ13" s="402"/>
      <c r="AR13" s="402"/>
      <c r="AS13" s="402"/>
      <c r="AT13" s="402"/>
      <c r="AU13" s="402"/>
      <c r="AV13" s="402"/>
      <c r="AW13" s="402"/>
      <c r="AX13" s="402"/>
      <c r="AY13" s="402">
        <v>3</v>
      </c>
      <c r="AZ13" s="402"/>
      <c r="BA13" s="402"/>
      <c r="BB13" s="402"/>
      <c r="BC13" s="402"/>
      <c r="BD13" s="402"/>
      <c r="BE13" s="402"/>
      <c r="BF13" s="402"/>
      <c r="BG13" s="402"/>
      <c r="BH13" s="402"/>
      <c r="BI13" s="402"/>
      <c r="BJ13" s="402"/>
      <c r="BK13" s="402"/>
      <c r="BL13" s="402"/>
      <c r="BM13" s="402"/>
      <c r="BN13" s="404"/>
      <c r="BO13" s="8">
        <f t="shared" si="0"/>
        <v>3</v>
      </c>
    </row>
    <row r="14" spans="1:67" x14ac:dyDescent="0.25">
      <c r="A14" s="100" t="s">
        <v>123</v>
      </c>
      <c r="B14" s="118">
        <f t="shared" si="1"/>
        <v>2</v>
      </c>
      <c r="C14" s="401"/>
      <c r="D14" s="402"/>
      <c r="E14" s="402"/>
      <c r="F14" s="402"/>
      <c r="G14" s="402"/>
      <c r="H14" s="402"/>
      <c r="I14" s="402"/>
      <c r="J14" s="402"/>
      <c r="K14" s="402"/>
      <c r="L14" s="402"/>
      <c r="M14" s="402"/>
      <c r="N14" s="402"/>
      <c r="O14" s="402"/>
      <c r="P14" s="402"/>
      <c r="Q14" s="402"/>
      <c r="R14" s="402"/>
      <c r="S14" s="402"/>
      <c r="T14" s="402"/>
      <c r="U14" s="402"/>
      <c r="V14" s="402"/>
      <c r="W14" s="402"/>
      <c r="X14" s="402"/>
      <c r="Y14" s="402"/>
      <c r="Z14" s="402"/>
      <c r="AA14" s="402"/>
      <c r="AB14" s="402">
        <v>1</v>
      </c>
      <c r="AC14" s="402"/>
      <c r="AD14" s="402"/>
      <c r="AE14" s="402"/>
      <c r="AF14" s="402"/>
      <c r="AG14" s="402"/>
      <c r="AH14" s="402"/>
      <c r="AI14" s="402"/>
      <c r="AJ14" s="402"/>
      <c r="AK14" s="402"/>
      <c r="AL14" s="402"/>
      <c r="AM14" s="402"/>
      <c r="AN14" s="402"/>
      <c r="AO14" s="402"/>
      <c r="AP14" s="402"/>
      <c r="AQ14" s="402"/>
      <c r="AR14" s="402"/>
      <c r="AS14" s="402"/>
      <c r="AT14" s="402"/>
      <c r="AU14" s="402"/>
      <c r="AV14" s="402"/>
      <c r="AW14" s="402"/>
      <c r="AX14" s="402"/>
      <c r="AY14" s="402">
        <v>2</v>
      </c>
      <c r="AZ14" s="402"/>
      <c r="BA14" s="402"/>
      <c r="BB14" s="402"/>
      <c r="BC14" s="402"/>
      <c r="BD14" s="402"/>
      <c r="BE14" s="402"/>
      <c r="BF14" s="402"/>
      <c r="BG14" s="402"/>
      <c r="BH14" s="402"/>
      <c r="BI14" s="402"/>
      <c r="BJ14" s="402"/>
      <c r="BK14" s="402"/>
      <c r="BL14" s="402"/>
      <c r="BM14" s="402"/>
      <c r="BN14" s="404"/>
      <c r="BO14" s="8">
        <f t="shared" si="0"/>
        <v>3</v>
      </c>
    </row>
    <row r="15" spans="1:67" x14ac:dyDescent="0.25">
      <c r="A15" s="60" t="s">
        <v>296</v>
      </c>
      <c r="B15" s="118">
        <f t="shared" si="1"/>
        <v>5</v>
      </c>
      <c r="C15" s="401"/>
      <c r="D15" s="402"/>
      <c r="E15" s="402"/>
      <c r="F15" s="402"/>
      <c r="G15" s="402"/>
      <c r="H15" s="402"/>
      <c r="I15" s="402"/>
      <c r="J15" s="402"/>
      <c r="K15" s="402"/>
      <c r="L15" s="402">
        <v>1</v>
      </c>
      <c r="M15" s="402"/>
      <c r="N15" s="402"/>
      <c r="O15" s="402"/>
      <c r="P15" s="402"/>
      <c r="Q15" s="402"/>
      <c r="R15" s="402"/>
      <c r="S15" s="402"/>
      <c r="T15" s="402"/>
      <c r="U15" s="402"/>
      <c r="V15" s="402"/>
      <c r="W15" s="402"/>
      <c r="X15" s="402"/>
      <c r="Y15" s="402"/>
      <c r="Z15" s="402"/>
      <c r="AA15" s="402"/>
      <c r="AB15" s="402">
        <v>1</v>
      </c>
      <c r="AC15" s="402"/>
      <c r="AD15" s="402"/>
      <c r="AE15" s="402"/>
      <c r="AF15" s="402"/>
      <c r="AG15" s="402"/>
      <c r="AH15" s="402"/>
      <c r="AI15" s="402"/>
      <c r="AJ15" s="402"/>
      <c r="AK15" s="402"/>
      <c r="AL15" s="402">
        <v>1</v>
      </c>
      <c r="AM15" s="402"/>
      <c r="AN15" s="402"/>
      <c r="AO15" s="402"/>
      <c r="AP15" s="402"/>
      <c r="AQ15" s="402"/>
      <c r="AR15" s="402"/>
      <c r="AS15" s="402"/>
      <c r="AT15" s="402"/>
      <c r="AU15" s="402"/>
      <c r="AV15" s="402"/>
      <c r="AW15" s="402"/>
      <c r="AX15" s="402"/>
      <c r="AY15" s="402">
        <v>2</v>
      </c>
      <c r="AZ15" s="402"/>
      <c r="BA15" s="402"/>
      <c r="BB15" s="402"/>
      <c r="BC15" s="402"/>
      <c r="BD15" s="402"/>
      <c r="BE15" s="402"/>
      <c r="BF15" s="402">
        <v>6</v>
      </c>
      <c r="BG15" s="402"/>
      <c r="BH15" s="402"/>
      <c r="BI15" s="402"/>
      <c r="BJ15" s="402"/>
      <c r="BK15" s="402"/>
      <c r="BL15" s="402"/>
      <c r="BM15" s="402"/>
      <c r="BN15" s="404"/>
      <c r="BO15" s="8">
        <f t="shared" si="0"/>
        <v>11</v>
      </c>
    </row>
    <row r="16" spans="1:67" x14ac:dyDescent="0.25">
      <c r="A16" s="60" t="s">
        <v>297</v>
      </c>
      <c r="B16" s="118">
        <f t="shared" si="1"/>
        <v>2</v>
      </c>
      <c r="C16" s="401"/>
      <c r="D16" s="402"/>
      <c r="E16" s="402"/>
      <c r="F16" s="402"/>
      <c r="G16" s="402"/>
      <c r="H16" s="402"/>
      <c r="I16" s="402"/>
      <c r="J16" s="402"/>
      <c r="K16" s="402"/>
      <c r="L16" s="402"/>
      <c r="M16" s="402"/>
      <c r="N16" s="402"/>
      <c r="O16" s="402"/>
      <c r="P16" s="402"/>
      <c r="Q16" s="402">
        <v>1</v>
      </c>
      <c r="R16" s="402"/>
      <c r="S16" s="402"/>
      <c r="T16" s="402"/>
      <c r="U16" s="402"/>
      <c r="V16" s="402"/>
      <c r="W16" s="402"/>
      <c r="X16" s="402"/>
      <c r="Y16" s="402"/>
      <c r="Z16" s="402"/>
      <c r="AA16" s="402"/>
      <c r="AB16" s="402"/>
      <c r="AC16" s="402"/>
      <c r="AD16" s="402"/>
      <c r="AE16" s="402"/>
      <c r="AF16" s="402"/>
      <c r="AG16" s="402"/>
      <c r="AH16" s="402"/>
      <c r="AI16" s="402"/>
      <c r="AJ16" s="402"/>
      <c r="AK16" s="402"/>
      <c r="AL16" s="402"/>
      <c r="AM16" s="402"/>
      <c r="AN16" s="402"/>
      <c r="AO16" s="402"/>
      <c r="AP16" s="402"/>
      <c r="AQ16" s="402"/>
      <c r="AR16" s="402"/>
      <c r="AS16" s="402"/>
      <c r="AT16" s="402"/>
      <c r="AU16" s="402"/>
      <c r="AV16" s="402"/>
      <c r="AW16" s="402"/>
      <c r="AX16" s="402"/>
      <c r="AY16" s="402"/>
      <c r="AZ16" s="402"/>
      <c r="BA16" s="402"/>
      <c r="BB16" s="402"/>
      <c r="BC16" s="402"/>
      <c r="BD16" s="402"/>
      <c r="BE16" s="402"/>
      <c r="BF16" s="402">
        <v>2</v>
      </c>
      <c r="BG16" s="402"/>
      <c r="BH16" s="402"/>
      <c r="BI16" s="402"/>
      <c r="BJ16" s="402"/>
      <c r="BK16" s="402"/>
      <c r="BL16" s="402"/>
      <c r="BM16" s="402"/>
      <c r="BN16" s="404"/>
      <c r="BO16" s="8">
        <f t="shared" si="0"/>
        <v>3</v>
      </c>
    </row>
    <row r="17" spans="1:67" x14ac:dyDescent="0.25">
      <c r="A17" s="111" t="s">
        <v>230</v>
      </c>
      <c r="B17" s="118">
        <f t="shared" si="1"/>
        <v>5</v>
      </c>
      <c r="C17" s="401"/>
      <c r="D17" s="402"/>
      <c r="E17" s="402"/>
      <c r="F17" s="402"/>
      <c r="G17" s="402"/>
      <c r="H17" s="402"/>
      <c r="I17" s="402"/>
      <c r="J17" s="402"/>
      <c r="K17" s="402">
        <v>2</v>
      </c>
      <c r="L17" s="402"/>
      <c r="M17" s="402"/>
      <c r="N17" s="402"/>
      <c r="O17" s="402"/>
      <c r="P17" s="402"/>
      <c r="Q17" s="402"/>
      <c r="R17" s="402">
        <v>1</v>
      </c>
      <c r="S17" s="402"/>
      <c r="T17" s="402"/>
      <c r="U17" s="402"/>
      <c r="V17" s="402"/>
      <c r="W17" s="402"/>
      <c r="X17" s="402"/>
      <c r="Y17" s="402"/>
      <c r="Z17" s="402"/>
      <c r="AA17" s="402"/>
      <c r="AB17" s="402">
        <v>1</v>
      </c>
      <c r="AC17" s="402"/>
      <c r="AD17" s="402"/>
      <c r="AE17" s="402"/>
      <c r="AF17" s="402"/>
      <c r="AG17" s="402"/>
      <c r="AH17" s="402"/>
      <c r="AI17" s="402"/>
      <c r="AJ17" s="402"/>
      <c r="AK17" s="402"/>
      <c r="AL17" s="402">
        <v>1</v>
      </c>
      <c r="AM17" s="402"/>
      <c r="AN17" s="402"/>
      <c r="AO17" s="402"/>
      <c r="AP17" s="402"/>
      <c r="AQ17" s="402"/>
      <c r="AR17" s="402"/>
      <c r="AS17" s="402"/>
      <c r="AT17" s="402"/>
      <c r="AU17" s="402"/>
      <c r="AV17" s="402"/>
      <c r="AW17" s="402"/>
      <c r="AX17" s="402"/>
      <c r="AY17" s="402">
        <v>4</v>
      </c>
      <c r="AZ17" s="402"/>
      <c r="BA17" s="402"/>
      <c r="BB17" s="402"/>
      <c r="BC17" s="402"/>
      <c r="BD17" s="402"/>
      <c r="BE17" s="402"/>
      <c r="BF17" s="402"/>
      <c r="BG17" s="402"/>
      <c r="BH17" s="402"/>
      <c r="BI17" s="402"/>
      <c r="BJ17" s="402"/>
      <c r="BK17" s="402"/>
      <c r="BL17" s="402"/>
      <c r="BM17" s="402"/>
      <c r="BN17" s="404"/>
      <c r="BO17" s="8">
        <f t="shared" si="0"/>
        <v>9</v>
      </c>
    </row>
    <row r="18" spans="1:67" x14ac:dyDescent="0.25">
      <c r="A18" s="29" t="s">
        <v>269</v>
      </c>
      <c r="B18" s="118">
        <f t="shared" si="1"/>
        <v>5</v>
      </c>
      <c r="C18" s="401"/>
      <c r="D18" s="402"/>
      <c r="E18" s="402"/>
      <c r="F18" s="402"/>
      <c r="G18" s="402"/>
      <c r="H18" s="402"/>
      <c r="I18" s="402"/>
      <c r="J18" s="402"/>
      <c r="K18" s="402">
        <v>1</v>
      </c>
      <c r="L18" s="402">
        <v>1</v>
      </c>
      <c r="M18" s="402"/>
      <c r="N18" s="402"/>
      <c r="O18" s="402"/>
      <c r="P18" s="402"/>
      <c r="Q18" s="402"/>
      <c r="R18" s="402"/>
      <c r="S18" s="402"/>
      <c r="T18" s="402"/>
      <c r="U18" s="402"/>
      <c r="V18" s="402"/>
      <c r="W18" s="402"/>
      <c r="X18" s="402"/>
      <c r="Y18" s="402"/>
      <c r="Z18" s="402"/>
      <c r="AA18" s="402"/>
      <c r="AB18" s="402"/>
      <c r="AC18" s="402"/>
      <c r="AD18" s="402"/>
      <c r="AE18" s="402"/>
      <c r="AF18" s="402"/>
      <c r="AG18" s="402"/>
      <c r="AH18" s="402"/>
      <c r="AI18" s="402"/>
      <c r="AJ18" s="402"/>
      <c r="AK18" s="402"/>
      <c r="AL18" s="402">
        <v>1</v>
      </c>
      <c r="AM18" s="402"/>
      <c r="AN18" s="402"/>
      <c r="AO18" s="402"/>
      <c r="AP18" s="402"/>
      <c r="AQ18" s="402"/>
      <c r="AR18" s="402"/>
      <c r="AS18" s="402"/>
      <c r="AT18" s="402"/>
      <c r="AU18" s="402"/>
      <c r="AV18" s="402"/>
      <c r="AW18" s="402"/>
      <c r="AX18" s="402"/>
      <c r="AY18" s="402">
        <v>1</v>
      </c>
      <c r="AZ18" s="402"/>
      <c r="BA18" s="402"/>
      <c r="BB18" s="402"/>
      <c r="BC18" s="402"/>
      <c r="BD18" s="402"/>
      <c r="BE18" s="402"/>
      <c r="BF18" s="402">
        <v>5</v>
      </c>
      <c r="BG18" s="402"/>
      <c r="BH18" s="402"/>
      <c r="BI18" s="402"/>
      <c r="BJ18" s="402"/>
      <c r="BK18" s="402"/>
      <c r="BL18" s="402"/>
      <c r="BM18" s="402"/>
      <c r="BN18" s="404"/>
      <c r="BO18" s="8">
        <f t="shared" si="0"/>
        <v>9</v>
      </c>
    </row>
    <row r="19" spans="1:67" x14ac:dyDescent="0.25">
      <c r="A19" s="109" t="s">
        <v>218</v>
      </c>
      <c r="B19" s="118">
        <f t="shared" si="1"/>
        <v>4</v>
      </c>
      <c r="C19" s="401"/>
      <c r="D19" s="402"/>
      <c r="E19" s="402"/>
      <c r="F19" s="402"/>
      <c r="G19" s="402"/>
      <c r="H19" s="402"/>
      <c r="I19" s="402"/>
      <c r="J19" s="402"/>
      <c r="K19" s="402"/>
      <c r="L19" s="402"/>
      <c r="M19" s="402"/>
      <c r="N19" s="402"/>
      <c r="O19" s="402"/>
      <c r="P19" s="402"/>
      <c r="Q19" s="402">
        <v>1</v>
      </c>
      <c r="R19" s="402"/>
      <c r="S19" s="402"/>
      <c r="T19" s="402"/>
      <c r="U19" s="402"/>
      <c r="V19" s="403"/>
      <c r="W19" s="402"/>
      <c r="X19" s="403"/>
      <c r="Y19" s="403"/>
      <c r="Z19" s="402"/>
      <c r="AA19" s="402"/>
      <c r="AB19" s="402">
        <v>3</v>
      </c>
      <c r="AC19" s="402"/>
      <c r="AD19" s="402"/>
      <c r="AE19" s="402"/>
      <c r="AF19" s="403">
        <v>1</v>
      </c>
      <c r="AG19" s="403"/>
      <c r="AH19" s="402"/>
      <c r="AI19" s="402"/>
      <c r="AJ19" s="402"/>
      <c r="AK19" s="402"/>
      <c r="AL19" s="402"/>
      <c r="AM19" s="402"/>
      <c r="AN19" s="402"/>
      <c r="AO19" s="402"/>
      <c r="AP19" s="402"/>
      <c r="AQ19" s="402"/>
      <c r="AR19" s="402"/>
      <c r="AS19" s="402"/>
      <c r="AT19" s="402"/>
      <c r="AU19" s="402"/>
      <c r="AV19" s="402"/>
      <c r="AW19" s="402"/>
      <c r="AX19" s="402"/>
      <c r="AY19" s="402">
        <v>5</v>
      </c>
      <c r="AZ19" s="402"/>
      <c r="BA19" s="402"/>
      <c r="BB19" s="402"/>
      <c r="BC19" s="402"/>
      <c r="BD19" s="402"/>
      <c r="BE19" s="402"/>
      <c r="BF19" s="402"/>
      <c r="BG19" s="402"/>
      <c r="BH19" s="402"/>
      <c r="BI19" s="402"/>
      <c r="BJ19" s="402"/>
      <c r="BK19" s="402"/>
      <c r="BL19" s="402"/>
      <c r="BM19" s="402"/>
      <c r="BN19" s="404"/>
      <c r="BO19" s="8">
        <f t="shared" si="0"/>
        <v>10</v>
      </c>
    </row>
    <row r="20" spans="1:67" x14ac:dyDescent="0.25">
      <c r="A20" s="61" t="s">
        <v>217</v>
      </c>
      <c r="B20" s="118">
        <f t="shared" si="1"/>
        <v>3</v>
      </c>
      <c r="C20" s="401"/>
      <c r="D20" s="402"/>
      <c r="E20" s="402"/>
      <c r="F20" s="402"/>
      <c r="G20" s="402"/>
      <c r="H20" s="402"/>
      <c r="I20" s="402"/>
      <c r="J20" s="402"/>
      <c r="K20" s="402"/>
      <c r="L20" s="402"/>
      <c r="M20" s="402"/>
      <c r="N20" s="402"/>
      <c r="O20" s="402"/>
      <c r="P20" s="402"/>
      <c r="Q20" s="402">
        <v>1</v>
      </c>
      <c r="R20" s="402"/>
      <c r="S20" s="402"/>
      <c r="T20" s="402"/>
      <c r="U20" s="402"/>
      <c r="V20" s="403"/>
      <c r="W20" s="402"/>
      <c r="X20" s="403"/>
      <c r="Y20" s="403"/>
      <c r="Z20" s="402"/>
      <c r="AA20" s="402"/>
      <c r="AB20" s="402">
        <v>1</v>
      </c>
      <c r="AC20" s="402"/>
      <c r="AD20" s="402"/>
      <c r="AE20" s="402"/>
      <c r="AF20" s="403"/>
      <c r="AG20" s="403"/>
      <c r="AH20" s="402"/>
      <c r="AI20" s="402"/>
      <c r="AJ20" s="402"/>
      <c r="AK20" s="402"/>
      <c r="AL20" s="402"/>
      <c r="AM20" s="402"/>
      <c r="AN20" s="402"/>
      <c r="AO20" s="402"/>
      <c r="AP20" s="402"/>
      <c r="AQ20" s="402"/>
      <c r="AR20" s="402"/>
      <c r="AS20" s="402"/>
      <c r="AT20" s="402"/>
      <c r="AU20" s="402"/>
      <c r="AV20" s="402"/>
      <c r="AW20" s="402"/>
      <c r="AX20" s="402"/>
      <c r="AY20" s="402">
        <v>4</v>
      </c>
      <c r="AZ20" s="402"/>
      <c r="BA20" s="402"/>
      <c r="BB20" s="402"/>
      <c r="BC20" s="402"/>
      <c r="BD20" s="402"/>
      <c r="BE20" s="402"/>
      <c r="BF20" s="402"/>
      <c r="BG20" s="402"/>
      <c r="BH20" s="402"/>
      <c r="BI20" s="402"/>
      <c r="BJ20" s="402"/>
      <c r="BK20" s="402"/>
      <c r="BL20" s="402"/>
      <c r="BM20" s="402"/>
      <c r="BN20" s="404"/>
      <c r="BO20" s="8">
        <f t="shared" si="0"/>
        <v>6</v>
      </c>
    </row>
    <row r="21" spans="1:67" x14ac:dyDescent="0.25">
      <c r="A21" s="60" t="s">
        <v>129</v>
      </c>
      <c r="B21" s="118">
        <f t="shared" si="1"/>
        <v>2</v>
      </c>
      <c r="C21" s="401"/>
      <c r="D21" s="402"/>
      <c r="E21" s="402"/>
      <c r="F21" s="402"/>
      <c r="G21" s="402"/>
      <c r="H21" s="402"/>
      <c r="I21" s="402"/>
      <c r="J21" s="402"/>
      <c r="K21" s="402"/>
      <c r="L21" s="402"/>
      <c r="M21" s="402"/>
      <c r="N21" s="402"/>
      <c r="O21" s="402"/>
      <c r="P21" s="402"/>
      <c r="Q21" s="402">
        <v>1</v>
      </c>
      <c r="R21" s="402"/>
      <c r="S21" s="402"/>
      <c r="T21" s="402"/>
      <c r="U21" s="402"/>
      <c r="V21" s="402"/>
      <c r="W21" s="402"/>
      <c r="X21" s="402"/>
      <c r="Y21" s="402"/>
      <c r="Z21" s="402"/>
      <c r="AA21" s="402"/>
      <c r="AB21" s="402"/>
      <c r="AC21" s="402"/>
      <c r="AD21" s="402"/>
      <c r="AE21" s="402"/>
      <c r="AF21" s="402"/>
      <c r="AG21" s="402"/>
      <c r="AH21" s="402"/>
      <c r="AI21" s="402"/>
      <c r="AJ21" s="402"/>
      <c r="AK21" s="402"/>
      <c r="AL21" s="402"/>
      <c r="AM21" s="402"/>
      <c r="AN21" s="402"/>
      <c r="AO21" s="402"/>
      <c r="AP21" s="402"/>
      <c r="AQ21" s="402"/>
      <c r="AR21" s="402"/>
      <c r="AS21" s="402"/>
      <c r="AT21" s="402"/>
      <c r="AU21" s="402"/>
      <c r="AV21" s="402"/>
      <c r="AW21" s="402"/>
      <c r="AX21" s="402"/>
      <c r="AY21" s="402">
        <v>3</v>
      </c>
      <c r="AZ21" s="402"/>
      <c r="BA21" s="402"/>
      <c r="BB21" s="402"/>
      <c r="BC21" s="402"/>
      <c r="BD21" s="402"/>
      <c r="BE21" s="402"/>
      <c r="BF21" s="402"/>
      <c r="BG21" s="402"/>
      <c r="BH21" s="402"/>
      <c r="BI21" s="402"/>
      <c r="BJ21" s="402"/>
      <c r="BK21" s="402"/>
      <c r="BL21" s="402"/>
      <c r="BM21" s="402"/>
      <c r="BN21" s="404"/>
      <c r="BO21" s="8">
        <f t="shared" si="0"/>
        <v>4</v>
      </c>
    </row>
    <row r="22" spans="1:67" x14ac:dyDescent="0.25">
      <c r="A22" s="226" t="s">
        <v>621</v>
      </c>
      <c r="B22" s="118">
        <f t="shared" si="1"/>
        <v>0</v>
      </c>
      <c r="C22" s="401"/>
      <c r="D22" s="402"/>
      <c r="E22" s="402"/>
      <c r="F22" s="402"/>
      <c r="G22" s="402"/>
      <c r="H22" s="402"/>
      <c r="I22" s="402"/>
      <c r="J22" s="402"/>
      <c r="K22" s="402"/>
      <c r="L22" s="402"/>
      <c r="M22" s="402"/>
      <c r="N22" s="402"/>
      <c r="O22" s="402"/>
      <c r="P22" s="402"/>
      <c r="Q22" s="402"/>
      <c r="R22" s="402"/>
      <c r="S22" s="402"/>
      <c r="T22" s="402"/>
      <c r="U22" s="402"/>
      <c r="V22" s="402"/>
      <c r="W22" s="402"/>
      <c r="X22" s="402"/>
      <c r="Y22" s="402"/>
      <c r="Z22" s="402"/>
      <c r="AA22" s="402"/>
      <c r="AB22" s="402"/>
      <c r="AC22" s="402"/>
      <c r="AD22" s="402"/>
      <c r="AE22" s="402"/>
      <c r="AF22" s="402"/>
      <c r="AG22" s="402"/>
      <c r="AH22" s="402"/>
      <c r="AI22" s="402"/>
      <c r="AJ22" s="402"/>
      <c r="AK22" s="402"/>
      <c r="AL22" s="402"/>
      <c r="AM22" s="402"/>
      <c r="AN22" s="402"/>
      <c r="AO22" s="402"/>
      <c r="AP22" s="402"/>
      <c r="AQ22" s="402"/>
      <c r="AR22" s="402"/>
      <c r="AS22" s="402"/>
      <c r="AT22" s="402"/>
      <c r="AU22" s="402"/>
      <c r="AV22" s="402"/>
      <c r="AW22" s="402"/>
      <c r="AX22" s="402"/>
      <c r="AY22" s="402"/>
      <c r="AZ22" s="402"/>
      <c r="BA22" s="402"/>
      <c r="BB22" s="402"/>
      <c r="BC22" s="402"/>
      <c r="BD22" s="402"/>
      <c r="BE22" s="402"/>
      <c r="BF22" s="402"/>
      <c r="BG22" s="402"/>
      <c r="BH22" s="402"/>
      <c r="BI22" s="402"/>
      <c r="BJ22" s="402"/>
      <c r="BK22" s="402"/>
      <c r="BL22" s="402"/>
      <c r="BM22" s="402"/>
      <c r="BN22" s="404"/>
      <c r="BO22" s="8">
        <f t="shared" si="0"/>
        <v>0</v>
      </c>
    </row>
    <row r="23" spans="1:67" x14ac:dyDescent="0.25">
      <c r="A23" s="111" t="s">
        <v>622</v>
      </c>
      <c r="B23" s="118">
        <f t="shared" si="1"/>
        <v>2</v>
      </c>
      <c r="C23" s="401"/>
      <c r="D23" s="402"/>
      <c r="E23" s="402"/>
      <c r="F23" s="402"/>
      <c r="G23" s="402"/>
      <c r="H23" s="402"/>
      <c r="I23" s="402"/>
      <c r="J23" s="402"/>
      <c r="K23" s="402">
        <v>2</v>
      </c>
      <c r="L23" s="402"/>
      <c r="M23" s="402"/>
      <c r="N23" s="402"/>
      <c r="O23" s="402"/>
      <c r="P23" s="402"/>
      <c r="Q23" s="402"/>
      <c r="R23" s="402"/>
      <c r="S23" s="402"/>
      <c r="T23" s="402"/>
      <c r="U23" s="402"/>
      <c r="V23" s="402"/>
      <c r="W23" s="402"/>
      <c r="X23" s="402"/>
      <c r="Y23" s="402"/>
      <c r="Z23" s="402"/>
      <c r="AA23" s="402"/>
      <c r="AB23" s="402"/>
      <c r="AC23" s="402"/>
      <c r="AD23" s="402"/>
      <c r="AE23" s="402"/>
      <c r="AF23" s="402"/>
      <c r="AG23" s="402"/>
      <c r="AH23" s="402"/>
      <c r="AI23" s="402"/>
      <c r="AJ23" s="402"/>
      <c r="AK23" s="402"/>
      <c r="AL23" s="402"/>
      <c r="AM23" s="402"/>
      <c r="AN23" s="402"/>
      <c r="AO23" s="402"/>
      <c r="AP23" s="402"/>
      <c r="AQ23" s="402"/>
      <c r="AR23" s="402"/>
      <c r="AS23" s="402"/>
      <c r="AT23" s="402"/>
      <c r="AU23" s="402"/>
      <c r="AV23" s="402"/>
      <c r="AW23" s="402"/>
      <c r="AX23" s="402"/>
      <c r="AY23" s="402">
        <v>2</v>
      </c>
      <c r="AZ23" s="402"/>
      <c r="BA23" s="402"/>
      <c r="BB23" s="402"/>
      <c r="BC23" s="402"/>
      <c r="BD23" s="402"/>
      <c r="BE23" s="402"/>
      <c r="BF23" s="402"/>
      <c r="BG23" s="402"/>
      <c r="BH23" s="402"/>
      <c r="BI23" s="402"/>
      <c r="BJ23" s="402"/>
      <c r="BK23" s="402"/>
      <c r="BL23" s="402"/>
      <c r="BM23" s="402"/>
      <c r="BN23" s="404"/>
      <c r="BO23" s="8">
        <f t="shared" si="0"/>
        <v>4</v>
      </c>
    </row>
    <row r="24" spans="1:67" x14ac:dyDescent="0.25">
      <c r="A24" s="60" t="s">
        <v>125</v>
      </c>
      <c r="B24" s="118">
        <f t="shared" si="1"/>
        <v>2</v>
      </c>
      <c r="C24" s="401"/>
      <c r="D24" s="402"/>
      <c r="E24" s="402"/>
      <c r="F24" s="402"/>
      <c r="G24" s="402"/>
      <c r="H24" s="402"/>
      <c r="I24" s="402"/>
      <c r="J24" s="402"/>
      <c r="K24" s="402">
        <v>1</v>
      </c>
      <c r="L24" s="402"/>
      <c r="M24" s="402"/>
      <c r="N24" s="402"/>
      <c r="O24" s="402"/>
      <c r="P24" s="402"/>
      <c r="Q24" s="403"/>
      <c r="R24" s="402"/>
      <c r="S24" s="402"/>
      <c r="T24" s="402"/>
      <c r="U24" s="402"/>
      <c r="V24" s="403"/>
      <c r="W24" s="403"/>
      <c r="X24" s="403"/>
      <c r="Y24" s="403"/>
      <c r="Z24" s="402"/>
      <c r="AA24" s="402"/>
      <c r="AB24" s="402"/>
      <c r="AC24" s="402"/>
      <c r="AD24" s="402"/>
      <c r="AE24" s="402"/>
      <c r="AF24" s="403"/>
      <c r="AG24" s="403"/>
      <c r="AH24" s="402"/>
      <c r="AI24" s="402"/>
      <c r="AJ24" s="402"/>
      <c r="AK24" s="402"/>
      <c r="AL24" s="402"/>
      <c r="AM24" s="402"/>
      <c r="AN24" s="402"/>
      <c r="AO24" s="402"/>
      <c r="AP24" s="402"/>
      <c r="AQ24" s="402"/>
      <c r="AR24" s="402"/>
      <c r="AS24" s="402"/>
      <c r="AT24" s="402"/>
      <c r="AU24" s="402"/>
      <c r="AV24" s="402"/>
      <c r="AW24" s="402"/>
      <c r="AX24" s="402"/>
      <c r="AY24" s="402">
        <v>3</v>
      </c>
      <c r="AZ24" s="402"/>
      <c r="BA24" s="402"/>
      <c r="BB24" s="402"/>
      <c r="BC24" s="402"/>
      <c r="BD24" s="402"/>
      <c r="BE24" s="402"/>
      <c r="BF24" s="402"/>
      <c r="BG24" s="402"/>
      <c r="BH24" s="402"/>
      <c r="BI24" s="402"/>
      <c r="BJ24" s="402"/>
      <c r="BK24" s="402"/>
      <c r="BL24" s="402"/>
      <c r="BM24" s="402"/>
      <c r="BN24" s="405"/>
      <c r="BO24" s="8">
        <f t="shared" si="0"/>
        <v>4</v>
      </c>
    </row>
    <row r="25" spans="1:67" x14ac:dyDescent="0.25">
      <c r="A25" s="15" t="s">
        <v>262</v>
      </c>
      <c r="B25" s="118">
        <f t="shared" si="1"/>
        <v>3</v>
      </c>
      <c r="C25" s="401"/>
      <c r="D25" s="402"/>
      <c r="E25" s="402"/>
      <c r="F25" s="402"/>
      <c r="G25" s="402"/>
      <c r="H25" s="402"/>
      <c r="I25" s="402"/>
      <c r="J25" s="402"/>
      <c r="K25" s="402">
        <v>1</v>
      </c>
      <c r="L25" s="402"/>
      <c r="M25" s="402"/>
      <c r="N25" s="402"/>
      <c r="O25" s="402"/>
      <c r="P25" s="402"/>
      <c r="Q25" s="403"/>
      <c r="R25" s="402"/>
      <c r="S25" s="402"/>
      <c r="T25" s="402"/>
      <c r="U25" s="402"/>
      <c r="V25" s="403"/>
      <c r="W25" s="403"/>
      <c r="X25" s="403"/>
      <c r="Y25" s="403"/>
      <c r="Z25" s="402"/>
      <c r="AA25" s="402"/>
      <c r="AB25" s="402">
        <v>3</v>
      </c>
      <c r="AC25" s="402"/>
      <c r="AD25" s="402"/>
      <c r="AE25" s="402"/>
      <c r="AF25" s="403"/>
      <c r="AG25" s="403"/>
      <c r="AH25" s="402"/>
      <c r="AI25" s="402"/>
      <c r="AJ25" s="402"/>
      <c r="AK25" s="402"/>
      <c r="AL25" s="402"/>
      <c r="AM25" s="402"/>
      <c r="AN25" s="402"/>
      <c r="AO25" s="402"/>
      <c r="AP25" s="402"/>
      <c r="AQ25" s="402"/>
      <c r="AR25" s="402"/>
      <c r="AS25" s="402"/>
      <c r="AT25" s="402"/>
      <c r="AU25" s="402"/>
      <c r="AV25" s="402"/>
      <c r="AW25" s="402"/>
      <c r="AX25" s="402"/>
      <c r="AY25" s="402">
        <v>3</v>
      </c>
      <c r="AZ25" s="402"/>
      <c r="BA25" s="402"/>
      <c r="BB25" s="402"/>
      <c r="BC25" s="402"/>
      <c r="BD25" s="402"/>
      <c r="BE25" s="402"/>
      <c r="BF25" s="402"/>
      <c r="BG25" s="402"/>
      <c r="BH25" s="402"/>
      <c r="BI25" s="402"/>
      <c r="BJ25" s="402"/>
      <c r="BK25" s="402"/>
      <c r="BL25" s="402"/>
      <c r="BM25" s="402"/>
      <c r="BN25" s="405"/>
      <c r="BO25" s="8">
        <f t="shared" si="0"/>
        <v>7</v>
      </c>
    </row>
    <row r="26" spans="1:67" x14ac:dyDescent="0.25">
      <c r="A26" s="60" t="s">
        <v>223</v>
      </c>
      <c r="B26" s="118">
        <f t="shared" si="1"/>
        <v>2</v>
      </c>
      <c r="C26" s="401"/>
      <c r="D26" s="402"/>
      <c r="E26" s="402"/>
      <c r="F26" s="402"/>
      <c r="G26" s="402"/>
      <c r="H26" s="402"/>
      <c r="I26" s="402"/>
      <c r="J26" s="402"/>
      <c r="K26" s="402">
        <v>1</v>
      </c>
      <c r="L26" s="402"/>
      <c r="M26" s="402"/>
      <c r="N26" s="402"/>
      <c r="O26" s="402"/>
      <c r="P26" s="402"/>
      <c r="Q26" s="403"/>
      <c r="R26" s="402"/>
      <c r="S26" s="402"/>
      <c r="T26" s="402"/>
      <c r="U26" s="402"/>
      <c r="V26" s="403"/>
      <c r="W26" s="403"/>
      <c r="X26" s="403"/>
      <c r="Y26" s="403"/>
      <c r="Z26" s="402"/>
      <c r="AA26" s="402"/>
      <c r="AB26" s="402"/>
      <c r="AC26" s="402"/>
      <c r="AD26" s="402"/>
      <c r="AE26" s="402"/>
      <c r="AF26" s="403"/>
      <c r="AG26" s="403"/>
      <c r="AH26" s="402"/>
      <c r="AI26" s="402"/>
      <c r="AJ26" s="402"/>
      <c r="AK26" s="402"/>
      <c r="AL26" s="402"/>
      <c r="AM26" s="402"/>
      <c r="AN26" s="402"/>
      <c r="AO26" s="402"/>
      <c r="AP26" s="402"/>
      <c r="AQ26" s="402"/>
      <c r="AR26" s="402"/>
      <c r="AS26" s="402"/>
      <c r="AT26" s="402"/>
      <c r="AU26" s="402"/>
      <c r="AV26" s="402"/>
      <c r="AW26" s="402"/>
      <c r="AX26" s="402"/>
      <c r="AY26" s="402">
        <v>5</v>
      </c>
      <c r="AZ26" s="402"/>
      <c r="BA26" s="402"/>
      <c r="BB26" s="402"/>
      <c r="BC26" s="402"/>
      <c r="BD26" s="402"/>
      <c r="BE26" s="402"/>
      <c r="BF26" s="402"/>
      <c r="BG26" s="402"/>
      <c r="BH26" s="402"/>
      <c r="BI26" s="402"/>
      <c r="BJ26" s="402"/>
      <c r="BK26" s="402"/>
      <c r="BL26" s="402"/>
      <c r="BM26" s="402"/>
      <c r="BN26" s="405"/>
      <c r="BO26" s="8">
        <f t="shared" si="0"/>
        <v>6</v>
      </c>
    </row>
    <row r="27" spans="1:67" x14ac:dyDescent="0.25">
      <c r="A27" s="113" t="s">
        <v>130</v>
      </c>
      <c r="B27" s="118">
        <f t="shared" si="1"/>
        <v>2</v>
      </c>
      <c r="C27" s="401"/>
      <c r="D27" s="402"/>
      <c r="E27" s="402"/>
      <c r="F27" s="402"/>
      <c r="G27" s="402"/>
      <c r="H27" s="402"/>
      <c r="I27" s="402"/>
      <c r="J27" s="402"/>
      <c r="K27" s="402">
        <v>1</v>
      </c>
      <c r="L27" s="402"/>
      <c r="M27" s="402"/>
      <c r="N27" s="402"/>
      <c r="O27" s="402"/>
      <c r="P27" s="402"/>
      <c r="Q27" s="403"/>
      <c r="R27" s="402"/>
      <c r="S27" s="402"/>
      <c r="T27" s="402"/>
      <c r="U27" s="402"/>
      <c r="V27" s="403"/>
      <c r="W27" s="403"/>
      <c r="X27" s="403"/>
      <c r="Y27" s="403"/>
      <c r="Z27" s="402"/>
      <c r="AA27" s="402"/>
      <c r="AB27" s="402"/>
      <c r="AC27" s="402"/>
      <c r="AD27" s="402"/>
      <c r="AE27" s="402"/>
      <c r="AF27" s="403"/>
      <c r="AG27" s="403"/>
      <c r="AH27" s="402"/>
      <c r="AI27" s="402"/>
      <c r="AJ27" s="402"/>
      <c r="AK27" s="402"/>
      <c r="AL27" s="402"/>
      <c r="AM27" s="402"/>
      <c r="AN27" s="402"/>
      <c r="AO27" s="402"/>
      <c r="AP27" s="402"/>
      <c r="AQ27" s="402"/>
      <c r="AR27" s="402"/>
      <c r="AS27" s="402"/>
      <c r="AT27" s="402"/>
      <c r="AU27" s="402"/>
      <c r="AV27" s="402"/>
      <c r="AW27" s="402"/>
      <c r="AX27" s="402"/>
      <c r="AY27" s="402">
        <v>2</v>
      </c>
      <c r="AZ27" s="402"/>
      <c r="BA27" s="402"/>
      <c r="BB27" s="402"/>
      <c r="BC27" s="402"/>
      <c r="BD27" s="402"/>
      <c r="BE27" s="402"/>
      <c r="BF27" s="402"/>
      <c r="BG27" s="402"/>
      <c r="BH27" s="402"/>
      <c r="BI27" s="402"/>
      <c r="BJ27" s="402"/>
      <c r="BK27" s="402"/>
      <c r="BL27" s="402"/>
      <c r="BM27" s="402"/>
      <c r="BN27" s="405"/>
      <c r="BO27" s="8">
        <f t="shared" si="0"/>
        <v>3</v>
      </c>
    </row>
    <row r="28" spans="1:67" x14ac:dyDescent="0.25">
      <c r="A28" s="60" t="s">
        <v>131</v>
      </c>
      <c r="B28" s="118">
        <f t="shared" si="1"/>
        <v>2</v>
      </c>
      <c r="C28" s="401"/>
      <c r="D28" s="402"/>
      <c r="E28" s="402"/>
      <c r="F28" s="402"/>
      <c r="G28" s="402"/>
      <c r="H28" s="402"/>
      <c r="I28" s="402"/>
      <c r="J28" s="402"/>
      <c r="K28" s="402"/>
      <c r="L28" s="402"/>
      <c r="M28" s="402"/>
      <c r="N28" s="402"/>
      <c r="O28" s="402"/>
      <c r="P28" s="402"/>
      <c r="Q28" s="403"/>
      <c r="R28" s="402"/>
      <c r="S28" s="402"/>
      <c r="T28" s="402"/>
      <c r="U28" s="402"/>
      <c r="V28" s="403"/>
      <c r="W28" s="403"/>
      <c r="X28" s="403"/>
      <c r="Y28" s="403"/>
      <c r="Z28" s="402"/>
      <c r="AA28" s="402"/>
      <c r="AB28" s="402"/>
      <c r="AC28" s="402"/>
      <c r="AD28" s="402"/>
      <c r="AE28" s="402"/>
      <c r="AF28" s="403"/>
      <c r="AG28" s="403"/>
      <c r="AH28" s="402"/>
      <c r="AI28" s="402"/>
      <c r="AJ28" s="402"/>
      <c r="AK28" s="402"/>
      <c r="AL28" s="402"/>
      <c r="AM28" s="402"/>
      <c r="AN28" s="402"/>
      <c r="AO28" s="402"/>
      <c r="AP28" s="402"/>
      <c r="AQ28" s="402"/>
      <c r="AR28" s="402"/>
      <c r="AS28" s="402"/>
      <c r="AT28" s="402"/>
      <c r="AU28" s="402"/>
      <c r="AV28" s="402"/>
      <c r="AW28" s="402"/>
      <c r="AX28" s="402"/>
      <c r="AY28" s="402">
        <v>2</v>
      </c>
      <c r="AZ28" s="402"/>
      <c r="BA28" s="402"/>
      <c r="BB28" s="402"/>
      <c r="BC28" s="402"/>
      <c r="BD28" s="402"/>
      <c r="BE28" s="402"/>
      <c r="BF28" s="402">
        <v>1</v>
      </c>
      <c r="BG28" s="402"/>
      <c r="BH28" s="402"/>
      <c r="BI28" s="402"/>
      <c r="BJ28" s="402"/>
      <c r="BK28" s="402"/>
      <c r="BL28" s="402"/>
      <c r="BM28" s="402"/>
      <c r="BN28" s="405"/>
      <c r="BO28" s="8">
        <f t="shared" si="0"/>
        <v>3</v>
      </c>
    </row>
    <row r="29" spans="1:67" x14ac:dyDescent="0.25">
      <c r="A29" s="111" t="s">
        <v>632</v>
      </c>
      <c r="B29" s="118">
        <f t="shared" si="1"/>
        <v>1</v>
      </c>
      <c r="C29" s="401"/>
      <c r="D29" s="402"/>
      <c r="E29" s="402"/>
      <c r="F29" s="402"/>
      <c r="G29" s="402"/>
      <c r="H29" s="402"/>
      <c r="I29" s="402"/>
      <c r="J29" s="402"/>
      <c r="K29" s="402">
        <v>1</v>
      </c>
      <c r="L29" s="402"/>
      <c r="M29" s="402"/>
      <c r="N29" s="402"/>
      <c r="O29" s="402"/>
      <c r="P29" s="402"/>
      <c r="Q29" s="403"/>
      <c r="R29" s="402"/>
      <c r="S29" s="402"/>
      <c r="T29" s="402"/>
      <c r="U29" s="402"/>
      <c r="V29" s="403"/>
      <c r="W29" s="403"/>
      <c r="X29" s="403"/>
      <c r="Y29" s="403"/>
      <c r="Z29" s="402"/>
      <c r="AA29" s="402"/>
      <c r="AB29" s="402"/>
      <c r="AC29" s="402"/>
      <c r="AD29" s="402"/>
      <c r="AE29" s="402"/>
      <c r="AF29" s="403"/>
      <c r="AG29" s="403"/>
      <c r="AH29" s="402"/>
      <c r="AI29" s="402"/>
      <c r="AJ29" s="402"/>
      <c r="AK29" s="402"/>
      <c r="AL29" s="402"/>
      <c r="AM29" s="402"/>
      <c r="AN29" s="402"/>
      <c r="AO29" s="402"/>
      <c r="AP29" s="402"/>
      <c r="AQ29" s="402"/>
      <c r="AR29" s="402"/>
      <c r="AS29" s="402"/>
      <c r="AT29" s="402"/>
      <c r="AU29" s="402"/>
      <c r="AV29" s="402"/>
      <c r="AW29" s="402"/>
      <c r="AX29" s="402"/>
      <c r="AY29" s="402"/>
      <c r="AZ29" s="402"/>
      <c r="BA29" s="402"/>
      <c r="BB29" s="402"/>
      <c r="BC29" s="402"/>
      <c r="BD29" s="402"/>
      <c r="BE29" s="402"/>
      <c r="BF29" s="402"/>
      <c r="BG29" s="402"/>
      <c r="BH29" s="402"/>
      <c r="BI29" s="402"/>
      <c r="BJ29" s="402"/>
      <c r="BK29" s="402"/>
      <c r="BL29" s="402"/>
      <c r="BM29" s="402"/>
      <c r="BN29" s="405"/>
      <c r="BO29" s="8">
        <f t="shared" si="0"/>
        <v>1</v>
      </c>
    </row>
    <row r="30" spans="1:67" x14ac:dyDescent="0.25">
      <c r="A30" s="60" t="s">
        <v>132</v>
      </c>
      <c r="B30" s="118">
        <f t="shared" si="1"/>
        <v>1</v>
      </c>
      <c r="C30" s="401"/>
      <c r="D30" s="402"/>
      <c r="E30" s="402"/>
      <c r="F30" s="402"/>
      <c r="G30" s="402"/>
      <c r="H30" s="402"/>
      <c r="I30" s="402"/>
      <c r="J30" s="402"/>
      <c r="K30" s="402"/>
      <c r="L30" s="402"/>
      <c r="M30" s="402"/>
      <c r="N30" s="402"/>
      <c r="O30" s="402"/>
      <c r="P30" s="402"/>
      <c r="Q30" s="403"/>
      <c r="R30" s="402"/>
      <c r="S30" s="402"/>
      <c r="T30" s="402"/>
      <c r="U30" s="402"/>
      <c r="V30" s="403"/>
      <c r="W30" s="403"/>
      <c r="X30" s="403"/>
      <c r="Y30" s="403"/>
      <c r="Z30" s="402"/>
      <c r="AA30" s="402"/>
      <c r="AB30" s="402"/>
      <c r="AC30" s="402"/>
      <c r="AD30" s="402"/>
      <c r="AE30" s="402"/>
      <c r="AF30" s="403"/>
      <c r="AG30" s="403"/>
      <c r="AH30" s="402"/>
      <c r="AI30" s="402"/>
      <c r="AJ30" s="402"/>
      <c r="AK30" s="402"/>
      <c r="AL30" s="402"/>
      <c r="AM30" s="402"/>
      <c r="AN30" s="402"/>
      <c r="AO30" s="402"/>
      <c r="AP30" s="402"/>
      <c r="AQ30" s="402"/>
      <c r="AR30" s="402"/>
      <c r="AS30" s="402"/>
      <c r="AT30" s="402"/>
      <c r="AU30" s="402"/>
      <c r="AV30" s="402"/>
      <c r="AW30" s="402"/>
      <c r="AX30" s="402"/>
      <c r="AY30" s="402">
        <v>2</v>
      </c>
      <c r="AZ30" s="402"/>
      <c r="BA30" s="402"/>
      <c r="BB30" s="402"/>
      <c r="BC30" s="402"/>
      <c r="BD30" s="402"/>
      <c r="BE30" s="402"/>
      <c r="BF30" s="402"/>
      <c r="BG30" s="402"/>
      <c r="BH30" s="402"/>
      <c r="BI30" s="402"/>
      <c r="BJ30" s="402"/>
      <c r="BK30" s="402"/>
      <c r="BL30" s="402"/>
      <c r="BM30" s="402"/>
      <c r="BN30" s="405"/>
      <c r="BO30" s="8">
        <f t="shared" si="0"/>
        <v>2</v>
      </c>
    </row>
    <row r="31" spans="1:67" x14ac:dyDescent="0.25">
      <c r="A31" s="60" t="s">
        <v>122</v>
      </c>
      <c r="B31" s="118">
        <f t="shared" si="1"/>
        <v>1</v>
      </c>
      <c r="C31" s="401"/>
      <c r="D31" s="402"/>
      <c r="E31" s="402"/>
      <c r="F31" s="402"/>
      <c r="G31" s="402"/>
      <c r="H31" s="402"/>
      <c r="I31" s="402"/>
      <c r="J31" s="402"/>
      <c r="K31" s="402"/>
      <c r="L31" s="402"/>
      <c r="M31" s="402"/>
      <c r="N31" s="402"/>
      <c r="O31" s="402"/>
      <c r="P31" s="402"/>
      <c r="Q31" s="403"/>
      <c r="R31" s="402"/>
      <c r="S31" s="402"/>
      <c r="T31" s="402"/>
      <c r="U31" s="402"/>
      <c r="V31" s="403"/>
      <c r="W31" s="403"/>
      <c r="X31" s="403"/>
      <c r="Y31" s="403"/>
      <c r="Z31" s="402"/>
      <c r="AA31" s="402"/>
      <c r="AB31" s="402"/>
      <c r="AC31" s="402"/>
      <c r="AD31" s="402"/>
      <c r="AE31" s="402"/>
      <c r="AF31" s="403"/>
      <c r="AG31" s="403"/>
      <c r="AH31" s="402"/>
      <c r="AI31" s="402"/>
      <c r="AJ31" s="402"/>
      <c r="AK31" s="402"/>
      <c r="AL31" s="402"/>
      <c r="AM31" s="402"/>
      <c r="AN31" s="402"/>
      <c r="AO31" s="402"/>
      <c r="AP31" s="402"/>
      <c r="AQ31" s="402"/>
      <c r="AR31" s="402"/>
      <c r="AS31" s="402"/>
      <c r="AT31" s="402"/>
      <c r="AU31" s="402"/>
      <c r="AV31" s="402"/>
      <c r="AW31" s="402"/>
      <c r="AX31" s="402"/>
      <c r="AY31" s="402">
        <v>5</v>
      </c>
      <c r="AZ31" s="402"/>
      <c r="BA31" s="402"/>
      <c r="BB31" s="402"/>
      <c r="BC31" s="402"/>
      <c r="BD31" s="402"/>
      <c r="BE31" s="402"/>
      <c r="BF31" s="402"/>
      <c r="BG31" s="402"/>
      <c r="BH31" s="402"/>
      <c r="BI31" s="402"/>
      <c r="BJ31" s="402"/>
      <c r="BK31" s="402"/>
      <c r="BL31" s="402"/>
      <c r="BM31" s="402"/>
      <c r="BN31" s="405"/>
      <c r="BO31" s="8">
        <f t="shared" si="0"/>
        <v>5</v>
      </c>
    </row>
    <row r="32" spans="1:67" x14ac:dyDescent="0.25">
      <c r="A32" s="111" t="s">
        <v>325</v>
      </c>
      <c r="B32" s="118">
        <f t="shared" si="1"/>
        <v>0</v>
      </c>
      <c r="C32" s="401"/>
      <c r="D32" s="402"/>
      <c r="E32" s="402"/>
      <c r="F32" s="402"/>
      <c r="G32" s="402"/>
      <c r="H32" s="402"/>
      <c r="I32" s="402"/>
      <c r="J32" s="402"/>
      <c r="K32" s="402"/>
      <c r="L32" s="402"/>
      <c r="M32" s="402"/>
      <c r="N32" s="402"/>
      <c r="O32" s="402"/>
      <c r="P32" s="402"/>
      <c r="Q32" s="403"/>
      <c r="R32" s="402"/>
      <c r="S32" s="402"/>
      <c r="T32" s="402"/>
      <c r="U32" s="402"/>
      <c r="V32" s="403"/>
      <c r="W32" s="403"/>
      <c r="X32" s="403"/>
      <c r="Y32" s="403"/>
      <c r="Z32" s="402"/>
      <c r="AA32" s="402"/>
      <c r="AB32" s="402"/>
      <c r="AC32" s="402"/>
      <c r="AD32" s="402"/>
      <c r="AE32" s="402"/>
      <c r="AF32" s="403"/>
      <c r="AG32" s="403"/>
      <c r="AH32" s="402"/>
      <c r="AI32" s="402"/>
      <c r="AJ32" s="402"/>
      <c r="AK32" s="402"/>
      <c r="AL32" s="402"/>
      <c r="AM32" s="402"/>
      <c r="AN32" s="402"/>
      <c r="AO32" s="402"/>
      <c r="AP32" s="402"/>
      <c r="AQ32" s="402"/>
      <c r="AR32" s="402"/>
      <c r="AS32" s="402"/>
      <c r="AT32" s="402"/>
      <c r="AU32" s="402"/>
      <c r="AV32" s="402"/>
      <c r="AW32" s="402"/>
      <c r="AX32" s="402"/>
      <c r="AY32" s="402"/>
      <c r="AZ32" s="402"/>
      <c r="BA32" s="402"/>
      <c r="BB32" s="402"/>
      <c r="BC32" s="402"/>
      <c r="BD32" s="402"/>
      <c r="BE32" s="402"/>
      <c r="BF32" s="402"/>
      <c r="BG32" s="402"/>
      <c r="BH32" s="402"/>
      <c r="BI32" s="402"/>
      <c r="BJ32" s="402"/>
      <c r="BK32" s="402"/>
      <c r="BL32" s="402"/>
      <c r="BM32" s="402"/>
      <c r="BN32" s="405"/>
      <c r="BO32" s="8">
        <f t="shared" si="0"/>
        <v>0</v>
      </c>
    </row>
    <row r="33" spans="1:67" x14ac:dyDescent="0.25">
      <c r="A33" s="130" t="s">
        <v>255</v>
      </c>
      <c r="B33" s="118">
        <f>COUNTA(C33:BN33)</f>
        <v>1</v>
      </c>
      <c r="C33" s="401"/>
      <c r="D33" s="402"/>
      <c r="E33" s="402"/>
      <c r="F33" s="402"/>
      <c r="G33" s="402"/>
      <c r="H33" s="402"/>
      <c r="I33" s="402"/>
      <c r="J33" s="402"/>
      <c r="K33" s="402"/>
      <c r="L33" s="402"/>
      <c r="M33" s="402"/>
      <c r="N33" s="402"/>
      <c r="O33" s="402"/>
      <c r="P33" s="402"/>
      <c r="Q33" s="403"/>
      <c r="R33" s="402"/>
      <c r="S33" s="402"/>
      <c r="T33" s="402"/>
      <c r="U33" s="402"/>
      <c r="V33" s="403"/>
      <c r="W33" s="403"/>
      <c r="X33" s="403"/>
      <c r="Y33" s="403"/>
      <c r="Z33" s="402"/>
      <c r="AA33" s="402"/>
      <c r="AB33" s="402"/>
      <c r="AC33" s="402"/>
      <c r="AD33" s="402"/>
      <c r="AE33" s="402"/>
      <c r="AF33" s="403"/>
      <c r="AG33" s="403"/>
      <c r="AH33" s="402"/>
      <c r="AI33" s="402"/>
      <c r="AJ33" s="402"/>
      <c r="AK33" s="402"/>
      <c r="AL33" s="402"/>
      <c r="AM33" s="402"/>
      <c r="AN33" s="402"/>
      <c r="AO33" s="402"/>
      <c r="AP33" s="402"/>
      <c r="AQ33" s="402"/>
      <c r="AR33" s="402"/>
      <c r="AS33" s="402"/>
      <c r="AT33" s="402"/>
      <c r="AU33" s="402"/>
      <c r="AV33" s="402"/>
      <c r="AW33" s="402"/>
      <c r="AX33" s="402"/>
      <c r="AY33" s="402">
        <v>1</v>
      </c>
      <c r="AZ33" s="402"/>
      <c r="BA33" s="402"/>
      <c r="BB33" s="402"/>
      <c r="BC33" s="402"/>
      <c r="BD33" s="402"/>
      <c r="BE33" s="402"/>
      <c r="BF33" s="402"/>
      <c r="BG33" s="402"/>
      <c r="BH33" s="402"/>
      <c r="BI33" s="402"/>
      <c r="BJ33" s="402"/>
      <c r="BK33" s="402"/>
      <c r="BL33" s="402"/>
      <c r="BM33" s="402"/>
      <c r="BN33" s="405"/>
      <c r="BO33" s="8">
        <f>SUM(C33:BN33)</f>
        <v>1</v>
      </c>
    </row>
    <row r="34" spans="1:67" x14ac:dyDescent="0.25">
      <c r="A34" s="60" t="s">
        <v>268</v>
      </c>
      <c r="B34" s="118">
        <f t="shared" si="1"/>
        <v>4</v>
      </c>
      <c r="C34" s="401"/>
      <c r="D34" s="402"/>
      <c r="E34" s="402"/>
      <c r="F34" s="402"/>
      <c r="G34" s="402"/>
      <c r="H34" s="402"/>
      <c r="I34" s="402"/>
      <c r="J34" s="402"/>
      <c r="K34" s="402"/>
      <c r="L34" s="402"/>
      <c r="M34" s="402"/>
      <c r="N34" s="402"/>
      <c r="O34" s="402"/>
      <c r="P34" s="402"/>
      <c r="Q34" s="406">
        <v>1</v>
      </c>
      <c r="R34" s="402"/>
      <c r="S34" s="402"/>
      <c r="T34" s="402"/>
      <c r="U34" s="402"/>
      <c r="V34" s="403"/>
      <c r="W34" s="403"/>
      <c r="X34" s="403"/>
      <c r="Y34" s="403"/>
      <c r="Z34" s="402"/>
      <c r="AA34" s="402"/>
      <c r="AB34" s="402">
        <v>2</v>
      </c>
      <c r="AC34" s="402"/>
      <c r="AD34" s="402"/>
      <c r="AE34" s="402"/>
      <c r="AF34" s="403">
        <v>1</v>
      </c>
      <c r="AG34" s="403"/>
      <c r="AH34" s="402"/>
      <c r="AI34" s="402"/>
      <c r="AJ34" s="402"/>
      <c r="AK34" s="402"/>
      <c r="AL34" s="402"/>
      <c r="AM34" s="402"/>
      <c r="AN34" s="402"/>
      <c r="AO34" s="402"/>
      <c r="AP34" s="402"/>
      <c r="AQ34" s="402"/>
      <c r="AR34" s="402"/>
      <c r="AS34" s="402"/>
      <c r="AT34" s="402"/>
      <c r="AU34" s="402"/>
      <c r="AV34" s="402"/>
      <c r="AW34" s="402"/>
      <c r="AX34" s="402"/>
      <c r="AY34" s="402">
        <v>3</v>
      </c>
      <c r="AZ34" s="402"/>
      <c r="BA34" s="402"/>
      <c r="BB34" s="402"/>
      <c r="BC34" s="402"/>
      <c r="BD34" s="402"/>
      <c r="BE34" s="402"/>
      <c r="BF34" s="402"/>
      <c r="BG34" s="402"/>
      <c r="BH34" s="402"/>
      <c r="BI34" s="402"/>
      <c r="BJ34" s="402"/>
      <c r="BK34" s="402"/>
      <c r="BL34" s="402"/>
      <c r="BM34" s="402"/>
      <c r="BN34" s="405"/>
      <c r="BO34" s="8">
        <f t="shared" si="0"/>
        <v>7</v>
      </c>
    </row>
    <row r="35" spans="1:67" x14ac:dyDescent="0.25">
      <c r="A35" s="15" t="s">
        <v>362</v>
      </c>
      <c r="B35" s="118">
        <f t="shared" si="1"/>
        <v>0</v>
      </c>
      <c r="C35" s="401"/>
      <c r="D35" s="402"/>
      <c r="E35" s="402"/>
      <c r="F35" s="402"/>
      <c r="G35" s="402"/>
      <c r="H35" s="402"/>
      <c r="I35" s="402"/>
      <c r="J35" s="402"/>
      <c r="K35" s="402"/>
      <c r="L35" s="402"/>
      <c r="M35" s="402"/>
      <c r="N35" s="402"/>
      <c r="O35" s="402"/>
      <c r="P35" s="402"/>
      <c r="Q35" s="403"/>
      <c r="R35" s="402"/>
      <c r="S35" s="402"/>
      <c r="T35" s="402"/>
      <c r="U35" s="402"/>
      <c r="V35" s="403"/>
      <c r="W35" s="403"/>
      <c r="X35" s="403"/>
      <c r="Y35" s="403"/>
      <c r="Z35" s="402"/>
      <c r="AA35" s="402"/>
      <c r="AB35" s="402"/>
      <c r="AC35" s="402"/>
      <c r="AD35" s="402"/>
      <c r="AE35" s="402"/>
      <c r="AF35" s="403"/>
      <c r="AG35" s="403"/>
      <c r="AH35" s="402"/>
      <c r="AI35" s="402"/>
      <c r="AJ35" s="402"/>
      <c r="AK35" s="402"/>
      <c r="AL35" s="402"/>
      <c r="AM35" s="402"/>
      <c r="AN35" s="402"/>
      <c r="AO35" s="402"/>
      <c r="AP35" s="402"/>
      <c r="AQ35" s="402"/>
      <c r="AR35" s="402"/>
      <c r="AS35" s="402"/>
      <c r="AT35" s="402"/>
      <c r="AU35" s="402"/>
      <c r="AV35" s="402"/>
      <c r="AW35" s="402"/>
      <c r="AX35" s="402"/>
      <c r="AY35" s="402"/>
      <c r="AZ35" s="402"/>
      <c r="BA35" s="402"/>
      <c r="BB35" s="402"/>
      <c r="BC35" s="402"/>
      <c r="BD35" s="402"/>
      <c r="BE35" s="402"/>
      <c r="BF35" s="402"/>
      <c r="BG35" s="402"/>
      <c r="BH35" s="402"/>
      <c r="BI35" s="402"/>
      <c r="BJ35" s="402"/>
      <c r="BK35" s="402"/>
      <c r="BL35" s="402"/>
      <c r="BM35" s="402"/>
      <c r="BN35" s="405"/>
      <c r="BO35" s="8">
        <f t="shared" si="0"/>
        <v>0</v>
      </c>
    </row>
    <row r="36" spans="1:67" x14ac:dyDescent="0.25">
      <c r="A36" s="399" t="s">
        <v>431</v>
      </c>
      <c r="B36" s="118">
        <f t="shared" si="1"/>
        <v>0</v>
      </c>
      <c r="C36" s="401"/>
      <c r="D36" s="402"/>
      <c r="E36" s="402"/>
      <c r="F36" s="402"/>
      <c r="G36" s="402"/>
      <c r="H36" s="402"/>
      <c r="I36" s="402"/>
      <c r="J36" s="402"/>
      <c r="K36" s="402"/>
      <c r="L36" s="402"/>
      <c r="M36" s="402"/>
      <c r="N36" s="402"/>
      <c r="O36" s="402"/>
      <c r="P36" s="402"/>
      <c r="Q36" s="403"/>
      <c r="R36" s="402"/>
      <c r="S36" s="402"/>
      <c r="T36" s="402"/>
      <c r="U36" s="402"/>
      <c r="V36" s="403"/>
      <c r="W36" s="403"/>
      <c r="X36" s="403"/>
      <c r="Y36" s="403"/>
      <c r="Z36" s="402"/>
      <c r="AA36" s="402"/>
      <c r="AB36" s="402"/>
      <c r="AC36" s="402"/>
      <c r="AD36" s="402"/>
      <c r="AE36" s="402"/>
      <c r="AF36" s="403"/>
      <c r="AG36" s="403"/>
      <c r="AH36" s="402"/>
      <c r="AI36" s="402"/>
      <c r="AJ36" s="402"/>
      <c r="AK36" s="402"/>
      <c r="AL36" s="402"/>
      <c r="AM36" s="402"/>
      <c r="AN36" s="402"/>
      <c r="AO36" s="402"/>
      <c r="AP36" s="402"/>
      <c r="AQ36" s="402"/>
      <c r="AR36" s="402"/>
      <c r="AS36" s="402"/>
      <c r="AT36" s="402"/>
      <c r="AU36" s="402"/>
      <c r="AV36" s="402"/>
      <c r="AW36" s="402"/>
      <c r="AX36" s="402"/>
      <c r="AY36" s="402"/>
      <c r="AZ36" s="402"/>
      <c r="BA36" s="402"/>
      <c r="BB36" s="402"/>
      <c r="BC36" s="402"/>
      <c r="BD36" s="402"/>
      <c r="BE36" s="402"/>
      <c r="BF36" s="402"/>
      <c r="BG36" s="402"/>
      <c r="BH36" s="402"/>
      <c r="BI36" s="402"/>
      <c r="BJ36" s="402"/>
      <c r="BK36" s="402"/>
      <c r="BL36" s="402"/>
      <c r="BM36" s="402"/>
      <c r="BN36" s="405"/>
      <c r="BO36" s="8">
        <f t="shared" si="0"/>
        <v>0</v>
      </c>
    </row>
    <row r="37" spans="1:67" x14ac:dyDescent="0.25">
      <c r="A37" s="61" t="s">
        <v>410</v>
      </c>
      <c r="B37" s="118">
        <f t="shared" si="1"/>
        <v>2</v>
      </c>
      <c r="C37" s="401"/>
      <c r="D37" s="402"/>
      <c r="E37" s="402"/>
      <c r="F37" s="402"/>
      <c r="G37" s="402"/>
      <c r="H37" s="402"/>
      <c r="I37" s="402"/>
      <c r="J37" s="402"/>
      <c r="K37" s="402"/>
      <c r="L37" s="402"/>
      <c r="M37" s="402"/>
      <c r="N37" s="402"/>
      <c r="O37" s="402"/>
      <c r="P37" s="402"/>
      <c r="Q37" s="403"/>
      <c r="R37" s="402"/>
      <c r="S37" s="402"/>
      <c r="T37" s="402"/>
      <c r="U37" s="402"/>
      <c r="V37" s="403"/>
      <c r="W37" s="403"/>
      <c r="X37" s="403"/>
      <c r="Y37" s="403"/>
      <c r="Z37" s="402"/>
      <c r="AA37" s="402"/>
      <c r="AB37" s="402">
        <v>1</v>
      </c>
      <c r="AC37" s="402"/>
      <c r="AD37" s="402"/>
      <c r="AE37" s="402"/>
      <c r="AF37" s="403"/>
      <c r="AG37" s="403"/>
      <c r="AH37" s="402"/>
      <c r="AI37" s="402"/>
      <c r="AJ37" s="402"/>
      <c r="AK37" s="402"/>
      <c r="AL37" s="402"/>
      <c r="AM37" s="402"/>
      <c r="AN37" s="402"/>
      <c r="AO37" s="402"/>
      <c r="AP37" s="402"/>
      <c r="AQ37" s="402"/>
      <c r="AR37" s="402"/>
      <c r="AS37" s="402"/>
      <c r="AT37" s="402"/>
      <c r="AU37" s="402"/>
      <c r="AV37" s="402"/>
      <c r="AW37" s="402"/>
      <c r="AX37" s="402"/>
      <c r="AY37" s="402">
        <v>2</v>
      </c>
      <c r="AZ37" s="402"/>
      <c r="BA37" s="402"/>
      <c r="BB37" s="402"/>
      <c r="BC37" s="402"/>
      <c r="BD37" s="402"/>
      <c r="BE37" s="402"/>
      <c r="BF37" s="402"/>
      <c r="BG37" s="402"/>
      <c r="BH37" s="402"/>
      <c r="BI37" s="402"/>
      <c r="BJ37" s="402"/>
      <c r="BK37" s="402"/>
      <c r="BL37" s="402"/>
      <c r="BM37" s="402"/>
      <c r="BN37" s="405"/>
      <c r="BO37" s="8">
        <f t="shared" si="0"/>
        <v>3</v>
      </c>
    </row>
    <row r="38" spans="1:67" x14ac:dyDescent="0.25">
      <c r="A38" s="61" t="s">
        <v>411</v>
      </c>
      <c r="B38" s="118">
        <f t="shared" si="1"/>
        <v>2</v>
      </c>
      <c r="C38" s="401"/>
      <c r="D38" s="402"/>
      <c r="E38" s="402"/>
      <c r="F38" s="402"/>
      <c r="G38" s="402"/>
      <c r="H38" s="402"/>
      <c r="I38" s="402"/>
      <c r="J38" s="402"/>
      <c r="K38" s="402"/>
      <c r="L38" s="402"/>
      <c r="M38" s="402"/>
      <c r="N38" s="402"/>
      <c r="O38" s="402"/>
      <c r="P38" s="402"/>
      <c r="Q38" s="403"/>
      <c r="R38" s="402"/>
      <c r="S38" s="402"/>
      <c r="T38" s="402"/>
      <c r="U38" s="402"/>
      <c r="V38" s="403"/>
      <c r="W38" s="403"/>
      <c r="X38" s="403"/>
      <c r="Y38" s="403"/>
      <c r="Z38" s="402"/>
      <c r="AA38" s="402"/>
      <c r="AB38" s="402">
        <v>1</v>
      </c>
      <c r="AC38" s="402"/>
      <c r="AD38" s="402"/>
      <c r="AE38" s="402"/>
      <c r="AF38" s="403"/>
      <c r="AG38" s="403"/>
      <c r="AH38" s="402"/>
      <c r="AI38" s="402"/>
      <c r="AJ38" s="402"/>
      <c r="AK38" s="402"/>
      <c r="AL38" s="402"/>
      <c r="AM38" s="402"/>
      <c r="AN38" s="402"/>
      <c r="AO38" s="402"/>
      <c r="AP38" s="402"/>
      <c r="AQ38" s="402"/>
      <c r="AR38" s="402"/>
      <c r="AS38" s="402"/>
      <c r="AT38" s="402"/>
      <c r="AU38" s="402"/>
      <c r="AV38" s="402"/>
      <c r="AW38" s="402"/>
      <c r="AX38" s="402"/>
      <c r="AY38" s="402">
        <v>5</v>
      </c>
      <c r="AZ38" s="402"/>
      <c r="BA38" s="402"/>
      <c r="BB38" s="402"/>
      <c r="BC38" s="402"/>
      <c r="BD38" s="402"/>
      <c r="BE38" s="402"/>
      <c r="BF38" s="402"/>
      <c r="BG38" s="402"/>
      <c r="BH38" s="402"/>
      <c r="BI38" s="402"/>
      <c r="BJ38" s="402"/>
      <c r="BK38" s="402"/>
      <c r="BL38" s="402"/>
      <c r="BM38" s="402"/>
      <c r="BN38" s="405"/>
      <c r="BO38" s="8">
        <f t="shared" si="0"/>
        <v>6</v>
      </c>
    </row>
    <row r="39" spans="1:67" x14ac:dyDescent="0.25">
      <c r="A39" s="61" t="s">
        <v>263</v>
      </c>
      <c r="B39" s="118">
        <f>COUNTA(C39:BN39)</f>
        <v>4</v>
      </c>
      <c r="C39" s="401"/>
      <c r="D39" s="402"/>
      <c r="E39" s="402"/>
      <c r="F39" s="402"/>
      <c r="G39" s="402"/>
      <c r="H39" s="402"/>
      <c r="I39" s="402"/>
      <c r="J39" s="402"/>
      <c r="K39" s="402">
        <v>1</v>
      </c>
      <c r="L39" s="402"/>
      <c r="M39" s="402"/>
      <c r="N39" s="402"/>
      <c r="O39" s="402"/>
      <c r="P39" s="402"/>
      <c r="Q39" s="403"/>
      <c r="R39" s="402"/>
      <c r="S39" s="402"/>
      <c r="T39" s="402"/>
      <c r="U39" s="402"/>
      <c r="V39" s="403"/>
      <c r="W39" s="403"/>
      <c r="X39" s="403"/>
      <c r="Y39" s="403"/>
      <c r="Z39" s="402"/>
      <c r="AA39" s="402"/>
      <c r="AB39" s="402">
        <v>2</v>
      </c>
      <c r="AC39" s="402"/>
      <c r="AD39" s="402"/>
      <c r="AE39" s="402"/>
      <c r="AF39" s="403"/>
      <c r="AG39" s="403"/>
      <c r="AH39" s="402"/>
      <c r="AI39" s="402"/>
      <c r="AJ39" s="402"/>
      <c r="AK39" s="402"/>
      <c r="AL39" s="402"/>
      <c r="AM39" s="402"/>
      <c r="AN39" s="402"/>
      <c r="AO39" s="402"/>
      <c r="AP39" s="402"/>
      <c r="AQ39" s="402"/>
      <c r="AR39" s="402"/>
      <c r="AS39" s="402"/>
      <c r="AT39" s="402"/>
      <c r="AU39" s="402"/>
      <c r="AV39" s="402"/>
      <c r="AW39" s="402"/>
      <c r="AX39" s="402"/>
      <c r="AY39" s="402">
        <v>7</v>
      </c>
      <c r="AZ39" s="402"/>
      <c r="BA39" s="402"/>
      <c r="BB39" s="402"/>
      <c r="BC39" s="402"/>
      <c r="BD39" s="402"/>
      <c r="BE39" s="402"/>
      <c r="BF39" s="402">
        <v>1</v>
      </c>
      <c r="BG39" s="402"/>
      <c r="BH39" s="402"/>
      <c r="BI39" s="402"/>
      <c r="BJ39" s="402"/>
      <c r="BK39" s="402"/>
      <c r="BL39" s="402"/>
      <c r="BM39" s="402"/>
      <c r="BN39" s="405"/>
      <c r="BO39" s="8">
        <f t="shared" si="0"/>
        <v>11</v>
      </c>
    </row>
    <row r="40" spans="1:67" x14ac:dyDescent="0.25">
      <c r="A40" s="412" t="s">
        <v>700</v>
      </c>
      <c r="B40" s="118">
        <f t="shared" ref="B40:B41" si="2">COUNTA(C40:BN40)</f>
        <v>1</v>
      </c>
      <c r="C40" s="401"/>
      <c r="D40" s="402"/>
      <c r="E40" s="402"/>
      <c r="F40" s="402"/>
      <c r="G40" s="402"/>
      <c r="H40" s="402"/>
      <c r="I40" s="402"/>
      <c r="J40" s="402"/>
      <c r="K40" s="402">
        <v>1</v>
      </c>
      <c r="L40" s="402"/>
      <c r="M40" s="402"/>
      <c r="N40" s="402"/>
      <c r="O40" s="402"/>
      <c r="P40" s="402"/>
      <c r="Q40" s="403"/>
      <c r="R40" s="402"/>
      <c r="S40" s="402"/>
      <c r="T40" s="402"/>
      <c r="U40" s="402"/>
      <c r="V40" s="403"/>
      <c r="W40" s="403"/>
      <c r="X40" s="403"/>
      <c r="Y40" s="403"/>
      <c r="Z40" s="402"/>
      <c r="AA40" s="402"/>
      <c r="AB40" s="402"/>
      <c r="AC40" s="402"/>
      <c r="AD40" s="402"/>
      <c r="AE40" s="402"/>
      <c r="AF40" s="403"/>
      <c r="AG40" s="403"/>
      <c r="AH40" s="402"/>
      <c r="AI40" s="402"/>
      <c r="AJ40" s="402"/>
      <c r="AK40" s="402"/>
      <c r="AL40" s="402"/>
      <c r="AM40" s="402"/>
      <c r="AN40" s="402"/>
      <c r="AO40" s="402"/>
      <c r="AP40" s="402"/>
      <c r="AQ40" s="402"/>
      <c r="AR40" s="402"/>
      <c r="AS40" s="402"/>
      <c r="AT40" s="402"/>
      <c r="AU40" s="402"/>
      <c r="AV40" s="402"/>
      <c r="AW40" s="402"/>
      <c r="AX40" s="402"/>
      <c r="AY40" s="402"/>
      <c r="AZ40" s="402"/>
      <c r="BA40" s="402"/>
      <c r="BB40" s="402"/>
      <c r="BC40" s="402"/>
      <c r="BD40" s="402"/>
      <c r="BE40" s="402"/>
      <c r="BF40" s="402"/>
      <c r="BG40" s="402"/>
      <c r="BH40" s="402"/>
      <c r="BI40" s="402"/>
      <c r="BJ40" s="402"/>
      <c r="BK40" s="402"/>
      <c r="BL40" s="402"/>
      <c r="BM40" s="402"/>
      <c r="BN40" s="405"/>
      <c r="BO40" s="8">
        <f t="shared" si="0"/>
        <v>1</v>
      </c>
    </row>
    <row r="41" spans="1:67" x14ac:dyDescent="0.25">
      <c r="A41" s="61" t="s">
        <v>636</v>
      </c>
      <c r="B41" s="118">
        <f t="shared" si="2"/>
        <v>0</v>
      </c>
      <c r="C41" s="401"/>
      <c r="D41" s="402"/>
      <c r="E41" s="402"/>
      <c r="F41" s="402"/>
      <c r="G41" s="402"/>
      <c r="H41" s="402"/>
      <c r="I41" s="402"/>
      <c r="J41" s="402"/>
      <c r="K41" s="402"/>
      <c r="L41" s="402"/>
      <c r="M41" s="402"/>
      <c r="N41" s="402"/>
      <c r="O41" s="402"/>
      <c r="P41" s="402"/>
      <c r="Q41" s="403"/>
      <c r="R41" s="402"/>
      <c r="S41" s="402"/>
      <c r="T41" s="402"/>
      <c r="U41" s="402"/>
      <c r="V41" s="403"/>
      <c r="W41" s="403"/>
      <c r="X41" s="403"/>
      <c r="Y41" s="403"/>
      <c r="Z41" s="402"/>
      <c r="AA41" s="402"/>
      <c r="AB41" s="402"/>
      <c r="AC41" s="402"/>
      <c r="AD41" s="402"/>
      <c r="AE41" s="402"/>
      <c r="AF41" s="403"/>
      <c r="AG41" s="403"/>
      <c r="AH41" s="402"/>
      <c r="AI41" s="402"/>
      <c r="AJ41" s="402"/>
      <c r="AK41" s="402"/>
      <c r="AL41" s="402"/>
      <c r="AM41" s="402"/>
      <c r="AN41" s="402"/>
      <c r="AO41" s="402"/>
      <c r="AP41" s="402"/>
      <c r="AQ41" s="402"/>
      <c r="AR41" s="402"/>
      <c r="AS41" s="402"/>
      <c r="AT41" s="402"/>
      <c r="AU41" s="402"/>
      <c r="AV41" s="402"/>
      <c r="AW41" s="402"/>
      <c r="AX41" s="402"/>
      <c r="AY41" s="402"/>
      <c r="AZ41" s="402"/>
      <c r="BA41" s="402"/>
      <c r="BB41" s="402"/>
      <c r="BC41" s="402"/>
      <c r="BD41" s="402"/>
      <c r="BE41" s="402"/>
      <c r="BF41" s="402"/>
      <c r="BG41" s="402"/>
      <c r="BH41" s="402"/>
      <c r="BI41" s="402"/>
      <c r="BJ41" s="402"/>
      <c r="BK41" s="402"/>
      <c r="BL41" s="402"/>
      <c r="BM41" s="402"/>
      <c r="BN41" s="405"/>
      <c r="BO41" s="8">
        <f t="shared" si="0"/>
        <v>0</v>
      </c>
    </row>
    <row r="42" spans="1:67" x14ac:dyDescent="0.25">
      <c r="A42" s="60" t="s">
        <v>219</v>
      </c>
      <c r="B42" s="118">
        <f t="shared" si="1"/>
        <v>3</v>
      </c>
      <c r="C42" s="401"/>
      <c r="D42" s="402"/>
      <c r="E42" s="402"/>
      <c r="F42" s="402"/>
      <c r="G42" s="402"/>
      <c r="H42" s="402"/>
      <c r="I42" s="402"/>
      <c r="J42" s="402"/>
      <c r="K42" s="402"/>
      <c r="L42" s="402"/>
      <c r="M42" s="402"/>
      <c r="N42" s="402"/>
      <c r="O42" s="402"/>
      <c r="P42" s="402"/>
      <c r="Q42" s="403"/>
      <c r="R42" s="402"/>
      <c r="S42" s="402"/>
      <c r="T42" s="402"/>
      <c r="U42" s="402"/>
      <c r="V42" s="403"/>
      <c r="W42" s="403"/>
      <c r="X42" s="403"/>
      <c r="Y42" s="403"/>
      <c r="Z42" s="402"/>
      <c r="AA42" s="402"/>
      <c r="AB42" s="402">
        <v>1</v>
      </c>
      <c r="AC42" s="402"/>
      <c r="AD42" s="402"/>
      <c r="AE42" s="402"/>
      <c r="AF42" s="403"/>
      <c r="AG42" s="403"/>
      <c r="AH42" s="402"/>
      <c r="AI42" s="402"/>
      <c r="AJ42" s="402"/>
      <c r="AK42" s="402"/>
      <c r="AL42" s="402"/>
      <c r="AM42" s="402"/>
      <c r="AN42" s="402"/>
      <c r="AO42" s="402"/>
      <c r="AP42" s="402"/>
      <c r="AQ42" s="402"/>
      <c r="AR42" s="402"/>
      <c r="AS42" s="402"/>
      <c r="AT42" s="402"/>
      <c r="AU42" s="402"/>
      <c r="AV42" s="402"/>
      <c r="AW42" s="402"/>
      <c r="AX42" s="402"/>
      <c r="AY42" s="402">
        <v>4</v>
      </c>
      <c r="AZ42" s="402"/>
      <c r="BA42" s="402"/>
      <c r="BB42" s="402"/>
      <c r="BC42" s="402"/>
      <c r="BD42" s="402"/>
      <c r="BE42" s="402"/>
      <c r="BF42" s="402">
        <v>3</v>
      </c>
      <c r="BG42" s="402"/>
      <c r="BH42" s="402"/>
      <c r="BI42" s="402"/>
      <c r="BJ42" s="402"/>
      <c r="BK42" s="402"/>
      <c r="BL42" s="402"/>
      <c r="BM42" s="402"/>
      <c r="BN42" s="405"/>
      <c r="BO42" s="8">
        <f t="shared" si="0"/>
        <v>8</v>
      </c>
    </row>
    <row r="43" spans="1:67" x14ac:dyDescent="0.25">
      <c r="A43" s="60" t="s">
        <v>120</v>
      </c>
      <c r="B43" s="118">
        <f t="shared" si="1"/>
        <v>5</v>
      </c>
      <c r="C43" s="401"/>
      <c r="D43" s="402"/>
      <c r="E43" s="402"/>
      <c r="F43" s="402">
        <v>1</v>
      </c>
      <c r="G43" s="402"/>
      <c r="H43" s="402"/>
      <c r="I43" s="402"/>
      <c r="J43" s="402"/>
      <c r="K43" s="402"/>
      <c r="L43" s="402"/>
      <c r="M43" s="402"/>
      <c r="N43" s="402"/>
      <c r="O43" s="402"/>
      <c r="P43" s="402"/>
      <c r="Q43" s="403"/>
      <c r="R43" s="402"/>
      <c r="S43" s="402"/>
      <c r="T43" s="402"/>
      <c r="U43" s="402"/>
      <c r="V43" s="403"/>
      <c r="W43" s="403"/>
      <c r="X43" s="403"/>
      <c r="Y43" s="403"/>
      <c r="Z43" s="402"/>
      <c r="AA43" s="402"/>
      <c r="AB43" s="402">
        <v>1</v>
      </c>
      <c r="AC43" s="402"/>
      <c r="AD43" s="402"/>
      <c r="AE43" s="402"/>
      <c r="AF43" s="403"/>
      <c r="AG43" s="403"/>
      <c r="AH43" s="402"/>
      <c r="AI43" s="402"/>
      <c r="AJ43" s="402"/>
      <c r="AK43" s="402"/>
      <c r="AL43" s="402">
        <v>1</v>
      </c>
      <c r="AM43" s="402"/>
      <c r="AN43" s="402"/>
      <c r="AO43" s="402"/>
      <c r="AP43" s="402"/>
      <c r="AQ43" s="402"/>
      <c r="AR43" s="402"/>
      <c r="AS43" s="402"/>
      <c r="AT43" s="402"/>
      <c r="AU43" s="402"/>
      <c r="AV43" s="402"/>
      <c r="AW43" s="402"/>
      <c r="AX43" s="402"/>
      <c r="AY43" s="402">
        <v>8</v>
      </c>
      <c r="AZ43" s="402"/>
      <c r="BA43" s="402"/>
      <c r="BB43" s="402"/>
      <c r="BC43" s="402"/>
      <c r="BD43" s="402"/>
      <c r="BE43" s="402"/>
      <c r="BF43" s="402">
        <v>2</v>
      </c>
      <c r="BG43" s="402"/>
      <c r="BH43" s="402"/>
      <c r="BI43" s="402"/>
      <c r="BJ43" s="402"/>
      <c r="BK43" s="402"/>
      <c r="BL43" s="402"/>
      <c r="BM43" s="402"/>
      <c r="BN43" s="405"/>
      <c r="BO43" s="8">
        <f t="shared" si="0"/>
        <v>13</v>
      </c>
    </row>
    <row r="44" spans="1:67" x14ac:dyDescent="0.25">
      <c r="A44" s="15" t="s">
        <v>267</v>
      </c>
      <c r="B44" s="118">
        <f t="shared" si="1"/>
        <v>1</v>
      </c>
      <c r="C44" s="401"/>
      <c r="D44" s="402"/>
      <c r="E44" s="402"/>
      <c r="F44" s="402"/>
      <c r="G44" s="402"/>
      <c r="H44" s="402"/>
      <c r="I44" s="402"/>
      <c r="J44" s="402"/>
      <c r="K44" s="402"/>
      <c r="L44" s="402"/>
      <c r="M44" s="402"/>
      <c r="N44" s="402"/>
      <c r="O44" s="402"/>
      <c r="P44" s="402"/>
      <c r="Q44" s="403"/>
      <c r="R44" s="402"/>
      <c r="S44" s="402"/>
      <c r="T44" s="402"/>
      <c r="U44" s="402"/>
      <c r="V44" s="403"/>
      <c r="W44" s="403"/>
      <c r="X44" s="403"/>
      <c r="Y44" s="403"/>
      <c r="Z44" s="402"/>
      <c r="AA44" s="402"/>
      <c r="AB44" s="402">
        <v>1</v>
      </c>
      <c r="AC44" s="402"/>
      <c r="AD44" s="402"/>
      <c r="AE44" s="402"/>
      <c r="AF44" s="403"/>
      <c r="AG44" s="403"/>
      <c r="AH44" s="402"/>
      <c r="AI44" s="402"/>
      <c r="AJ44" s="402"/>
      <c r="AK44" s="402"/>
      <c r="AL44" s="402"/>
      <c r="AM44" s="402"/>
      <c r="AN44" s="402"/>
      <c r="AO44" s="402"/>
      <c r="AP44" s="402"/>
      <c r="AQ44" s="402"/>
      <c r="AR44" s="402"/>
      <c r="AS44" s="402"/>
      <c r="AT44" s="402"/>
      <c r="AU44" s="402"/>
      <c r="AV44" s="402"/>
      <c r="AW44" s="402"/>
      <c r="AX44" s="402"/>
      <c r="AY44" s="402"/>
      <c r="AZ44" s="402"/>
      <c r="BA44" s="402"/>
      <c r="BB44" s="402"/>
      <c r="BC44" s="402"/>
      <c r="BD44" s="402"/>
      <c r="BE44" s="402"/>
      <c r="BF44" s="402"/>
      <c r="BG44" s="402"/>
      <c r="BH44" s="402"/>
      <c r="BI44" s="402"/>
      <c r="BJ44" s="402"/>
      <c r="BK44" s="402"/>
      <c r="BL44" s="402"/>
      <c r="BM44" s="402"/>
      <c r="BN44" s="405"/>
      <c r="BO44" s="8">
        <f t="shared" si="0"/>
        <v>1</v>
      </c>
    </row>
    <row r="45" spans="1:67" x14ac:dyDescent="0.25">
      <c r="A45" s="111" t="s">
        <v>433</v>
      </c>
      <c r="B45" s="118">
        <f t="shared" si="1"/>
        <v>1</v>
      </c>
      <c r="C45" s="401"/>
      <c r="D45" s="402"/>
      <c r="E45" s="402"/>
      <c r="F45" s="402"/>
      <c r="G45" s="402"/>
      <c r="H45" s="402"/>
      <c r="I45" s="402"/>
      <c r="J45" s="402"/>
      <c r="K45" s="402"/>
      <c r="L45" s="402"/>
      <c r="M45" s="402"/>
      <c r="N45" s="402"/>
      <c r="O45" s="402"/>
      <c r="P45" s="402"/>
      <c r="Q45" s="403"/>
      <c r="R45" s="402"/>
      <c r="S45" s="402"/>
      <c r="T45" s="402"/>
      <c r="U45" s="402"/>
      <c r="V45" s="403"/>
      <c r="W45" s="403"/>
      <c r="X45" s="403"/>
      <c r="Y45" s="403"/>
      <c r="Z45" s="402"/>
      <c r="AA45" s="402"/>
      <c r="AB45" s="402"/>
      <c r="AC45" s="402"/>
      <c r="AD45" s="402"/>
      <c r="AE45" s="402"/>
      <c r="AF45" s="403"/>
      <c r="AG45" s="403"/>
      <c r="AH45" s="402"/>
      <c r="AI45" s="402"/>
      <c r="AJ45" s="402"/>
      <c r="AK45" s="402"/>
      <c r="AL45" s="402"/>
      <c r="AM45" s="402"/>
      <c r="AN45" s="402"/>
      <c r="AO45" s="402"/>
      <c r="AP45" s="402"/>
      <c r="AQ45" s="402"/>
      <c r="AR45" s="402"/>
      <c r="AS45" s="402"/>
      <c r="AT45" s="402"/>
      <c r="AU45" s="402"/>
      <c r="AV45" s="402"/>
      <c r="AW45" s="402"/>
      <c r="AX45" s="402"/>
      <c r="AY45" s="402">
        <v>1</v>
      </c>
      <c r="AZ45" s="402"/>
      <c r="BA45" s="402"/>
      <c r="BB45" s="402"/>
      <c r="BC45" s="402"/>
      <c r="BD45" s="402"/>
      <c r="BE45" s="402"/>
      <c r="BF45" s="402"/>
      <c r="BG45" s="402"/>
      <c r="BH45" s="402"/>
      <c r="BI45" s="402"/>
      <c r="BJ45" s="402"/>
      <c r="BK45" s="402"/>
      <c r="BL45" s="402"/>
      <c r="BM45" s="402"/>
      <c r="BN45" s="405"/>
      <c r="BO45" s="8">
        <f t="shared" si="0"/>
        <v>1</v>
      </c>
    </row>
    <row r="46" spans="1:67" x14ac:dyDescent="0.25">
      <c r="A46" s="111" t="s">
        <v>224</v>
      </c>
      <c r="B46" s="407">
        <f t="shared" si="1"/>
        <v>2</v>
      </c>
      <c r="C46" s="408"/>
      <c r="D46" s="409"/>
      <c r="E46" s="409"/>
      <c r="F46" s="409"/>
      <c r="G46" s="409"/>
      <c r="H46" s="409"/>
      <c r="I46" s="409"/>
      <c r="J46" s="409"/>
      <c r="K46" s="409">
        <v>1</v>
      </c>
      <c r="L46" s="409"/>
      <c r="M46" s="409"/>
      <c r="N46" s="409"/>
      <c r="O46" s="409"/>
      <c r="P46" s="409"/>
      <c r="Q46" s="410"/>
      <c r="R46" s="409"/>
      <c r="S46" s="409"/>
      <c r="T46" s="409"/>
      <c r="U46" s="409"/>
      <c r="V46" s="410"/>
      <c r="W46" s="410"/>
      <c r="X46" s="410"/>
      <c r="Y46" s="410"/>
      <c r="Z46" s="409"/>
      <c r="AA46" s="409"/>
      <c r="AB46" s="409"/>
      <c r="AC46" s="409"/>
      <c r="AD46" s="409"/>
      <c r="AE46" s="409"/>
      <c r="AF46" s="410"/>
      <c r="AG46" s="410"/>
      <c r="AH46" s="409"/>
      <c r="AI46" s="409"/>
      <c r="AJ46" s="409"/>
      <c r="AK46" s="409"/>
      <c r="AL46" s="409"/>
      <c r="AM46" s="409"/>
      <c r="AN46" s="409"/>
      <c r="AO46" s="409"/>
      <c r="AP46" s="409"/>
      <c r="AQ46" s="409"/>
      <c r="AR46" s="409"/>
      <c r="AS46" s="409"/>
      <c r="AT46" s="409"/>
      <c r="AU46" s="409"/>
      <c r="AV46" s="409"/>
      <c r="AW46" s="409"/>
      <c r="AX46" s="409"/>
      <c r="AY46" s="409">
        <v>2</v>
      </c>
      <c r="AZ46" s="409"/>
      <c r="BA46" s="409"/>
      <c r="BB46" s="409"/>
      <c r="BC46" s="409"/>
      <c r="BD46" s="409"/>
      <c r="BE46" s="409"/>
      <c r="BF46" s="409"/>
      <c r="BG46" s="409"/>
      <c r="BH46" s="409"/>
      <c r="BI46" s="409"/>
      <c r="BJ46" s="409"/>
      <c r="BK46" s="409"/>
      <c r="BL46" s="409"/>
      <c r="BM46" s="409"/>
      <c r="BN46" s="411"/>
      <c r="BO46" s="8">
        <f t="shared" si="0"/>
        <v>3</v>
      </c>
    </row>
    <row r="47" spans="1:67" x14ac:dyDescent="0.25">
      <c r="C47" s="8">
        <f t="shared" ref="C47:AH47" si="3">SUM(C2:C46)</f>
        <v>0</v>
      </c>
      <c r="D47" s="8">
        <f t="shared" si="3"/>
        <v>0</v>
      </c>
      <c r="E47" s="8">
        <f t="shared" si="3"/>
        <v>0</v>
      </c>
      <c r="F47" s="8">
        <f t="shared" si="3"/>
        <v>1</v>
      </c>
      <c r="G47" s="8">
        <f t="shared" si="3"/>
        <v>0</v>
      </c>
      <c r="H47" s="8">
        <f t="shared" si="3"/>
        <v>0</v>
      </c>
      <c r="I47" s="8">
        <f t="shared" si="3"/>
        <v>0</v>
      </c>
      <c r="J47" s="8">
        <f t="shared" si="3"/>
        <v>0</v>
      </c>
      <c r="K47" s="8">
        <f t="shared" si="3"/>
        <v>19</v>
      </c>
      <c r="L47" s="8">
        <f t="shared" si="3"/>
        <v>2</v>
      </c>
      <c r="M47" s="8">
        <f t="shared" si="3"/>
        <v>0</v>
      </c>
      <c r="N47" s="8">
        <f t="shared" si="3"/>
        <v>0</v>
      </c>
      <c r="O47" s="8">
        <f t="shared" si="3"/>
        <v>0</v>
      </c>
      <c r="P47" s="8">
        <f t="shared" si="3"/>
        <v>0</v>
      </c>
      <c r="Q47" s="402">
        <f>SUM(Q2:Q46)</f>
        <v>7</v>
      </c>
      <c r="R47" s="8">
        <f t="shared" si="3"/>
        <v>1</v>
      </c>
      <c r="S47" s="8">
        <f t="shared" si="3"/>
        <v>0</v>
      </c>
      <c r="T47" s="8">
        <f t="shared" si="3"/>
        <v>0</v>
      </c>
      <c r="U47" s="8">
        <f t="shared" si="3"/>
        <v>0</v>
      </c>
      <c r="V47" s="8">
        <f t="shared" si="3"/>
        <v>0</v>
      </c>
      <c r="W47" s="8">
        <f t="shared" si="3"/>
        <v>0</v>
      </c>
      <c r="X47" s="8">
        <f t="shared" si="3"/>
        <v>0</v>
      </c>
      <c r="Y47" s="8">
        <f t="shared" si="3"/>
        <v>0</v>
      </c>
      <c r="Z47" s="8">
        <f t="shared" si="3"/>
        <v>0</v>
      </c>
      <c r="AA47" s="8">
        <f t="shared" si="3"/>
        <v>0</v>
      </c>
      <c r="AB47" s="8">
        <f t="shared" si="3"/>
        <v>28</v>
      </c>
      <c r="AC47" s="8">
        <f t="shared" si="3"/>
        <v>0</v>
      </c>
      <c r="AD47" s="8">
        <f t="shared" si="3"/>
        <v>0</v>
      </c>
      <c r="AE47" s="8">
        <f t="shared" si="3"/>
        <v>0</v>
      </c>
      <c r="AF47" s="8">
        <f t="shared" si="3"/>
        <v>3</v>
      </c>
      <c r="AG47" s="8">
        <f t="shared" si="3"/>
        <v>0</v>
      </c>
      <c r="AH47" s="8">
        <f t="shared" si="3"/>
        <v>0</v>
      </c>
      <c r="AI47" s="8">
        <f t="shared" ref="AI47:BN47" si="4">SUM(AI2:AI46)</f>
        <v>0</v>
      </c>
      <c r="AJ47" s="8">
        <f t="shared" si="4"/>
        <v>0</v>
      </c>
      <c r="AK47" s="8">
        <f t="shared" si="4"/>
        <v>0</v>
      </c>
      <c r="AL47" s="8">
        <f t="shared" si="4"/>
        <v>4</v>
      </c>
      <c r="AM47" s="8">
        <f t="shared" si="4"/>
        <v>0</v>
      </c>
      <c r="AN47" s="8">
        <f t="shared" si="4"/>
        <v>0</v>
      </c>
      <c r="AO47" s="8">
        <f t="shared" si="4"/>
        <v>0</v>
      </c>
      <c r="AP47" s="8">
        <f t="shared" si="4"/>
        <v>0</v>
      </c>
      <c r="AQ47" s="8">
        <f t="shared" si="4"/>
        <v>0</v>
      </c>
      <c r="AR47" s="8">
        <f t="shared" si="4"/>
        <v>0</v>
      </c>
      <c r="AS47" s="8">
        <f t="shared" si="4"/>
        <v>0</v>
      </c>
      <c r="AT47" s="8">
        <f t="shared" si="4"/>
        <v>0</v>
      </c>
      <c r="AU47" s="8">
        <f t="shared" si="4"/>
        <v>0</v>
      </c>
      <c r="AV47" s="8">
        <f t="shared" si="4"/>
        <v>0</v>
      </c>
      <c r="AW47" s="8">
        <f t="shared" si="4"/>
        <v>0</v>
      </c>
      <c r="AX47" s="8">
        <f t="shared" si="4"/>
        <v>0</v>
      </c>
      <c r="AY47" s="8">
        <f t="shared" si="4"/>
        <v>119</v>
      </c>
      <c r="AZ47" s="8">
        <f t="shared" si="4"/>
        <v>0</v>
      </c>
      <c r="BA47" s="8">
        <f t="shared" si="4"/>
        <v>0</v>
      </c>
      <c r="BB47" s="8">
        <f t="shared" si="4"/>
        <v>0</v>
      </c>
      <c r="BC47" s="8">
        <f t="shared" si="4"/>
        <v>0</v>
      </c>
      <c r="BD47" s="8">
        <f t="shared" si="4"/>
        <v>0</v>
      </c>
      <c r="BE47" s="8">
        <f t="shared" si="4"/>
        <v>0</v>
      </c>
      <c r="BF47" s="8">
        <f t="shared" si="4"/>
        <v>20</v>
      </c>
      <c r="BG47" s="8">
        <f t="shared" si="4"/>
        <v>0</v>
      </c>
      <c r="BH47" s="8">
        <f t="shared" si="4"/>
        <v>0</v>
      </c>
      <c r="BI47" s="8">
        <f t="shared" si="4"/>
        <v>0</v>
      </c>
      <c r="BJ47" s="8">
        <f t="shared" si="4"/>
        <v>0</v>
      </c>
      <c r="BK47" s="8">
        <f t="shared" si="4"/>
        <v>0</v>
      </c>
      <c r="BL47" s="8">
        <f t="shared" si="4"/>
        <v>0</v>
      </c>
      <c r="BM47" s="8">
        <f t="shared" si="4"/>
        <v>0</v>
      </c>
      <c r="BN47" s="8">
        <f t="shared" si="4"/>
        <v>0</v>
      </c>
      <c r="BO47" s="8">
        <f>SUM(C47:BN47)</f>
        <v>204</v>
      </c>
    </row>
    <row r="74" ht="12" customHeight="1" x14ac:dyDescent="0.25"/>
    <row r="113" spans="22:25" x14ac:dyDescent="0.25">
      <c r="V113" s="12"/>
      <c r="W113" s="12"/>
      <c r="X113" s="12"/>
      <c r="Y113" s="12"/>
    </row>
    <row r="114" spans="22:25" x14ac:dyDescent="0.25">
      <c r="V114" s="12"/>
      <c r="W114" s="12"/>
      <c r="X114" s="12"/>
      <c r="Y114" s="12"/>
    </row>
    <row r="115" spans="22:25" x14ac:dyDescent="0.25">
      <c r="V115" s="12"/>
      <c r="W115" s="12"/>
      <c r="X115" s="12"/>
      <c r="Y115" s="12"/>
    </row>
    <row r="116" spans="22:25" x14ac:dyDescent="0.25">
      <c r="V116" s="12"/>
      <c r="W116" s="12"/>
      <c r="X116" s="12"/>
      <c r="Y116" s="12"/>
    </row>
    <row r="117" spans="22:25" x14ac:dyDescent="0.25">
      <c r="V117" s="12"/>
      <c r="W117" s="12"/>
      <c r="X117" s="12"/>
      <c r="Y117" s="12"/>
    </row>
    <row r="118" spans="22:25" x14ac:dyDescent="0.25">
      <c r="V118" s="12"/>
      <c r="W118" s="12"/>
      <c r="X118" s="12"/>
      <c r="Y118" s="12"/>
    </row>
    <row r="119" spans="22:25" x14ac:dyDescent="0.25">
      <c r="V119" s="12"/>
      <c r="W119" s="12"/>
      <c r="X119" s="12"/>
      <c r="Y119" s="12"/>
    </row>
    <row r="120" spans="22:25" x14ac:dyDescent="0.25">
      <c r="V120" s="12"/>
      <c r="W120" s="12"/>
      <c r="X120" s="12"/>
      <c r="Y120" s="12"/>
    </row>
  </sheetData>
  <autoFilter ref="A1:BN1" xr:uid="{00000000-0001-0000-0300-000000000000}">
    <sortState xmlns:xlrd2="http://schemas.microsoft.com/office/spreadsheetml/2017/richdata2" ref="A2:BN55">
      <sortCondition ref="A1"/>
    </sortState>
  </autoFilter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13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5A643-4383-4D93-AA56-E855905E9C5B}">
  <sheetPr>
    <pageSetUpPr fitToPage="1"/>
  </sheetPr>
  <dimension ref="A1:J45"/>
  <sheetViews>
    <sheetView workbookViewId="0">
      <pane ySplit="1" topLeftCell="A2" activePane="bottomLeft" state="frozen"/>
      <selection pane="bottomLeft" activeCell="L11" sqref="L11"/>
    </sheetView>
  </sheetViews>
  <sheetFormatPr baseColWidth="10" defaultRowHeight="13.2" x14ac:dyDescent="0.25"/>
  <cols>
    <col min="1" max="1" width="3.88671875" style="123" customWidth="1"/>
    <col min="2" max="2" width="28.44140625" style="8" customWidth="1"/>
    <col min="3" max="3" width="9.33203125" style="8" bestFit="1" customWidth="1"/>
    <col min="4" max="4" width="4.6640625" style="8" customWidth="1"/>
    <col min="5" max="5" width="9.5546875" style="8" bestFit="1" customWidth="1"/>
    <col min="6" max="6" width="10" style="8" customWidth="1"/>
    <col min="7" max="7" width="8" style="8" bestFit="1" customWidth="1"/>
    <col min="8" max="8" width="11.109375" style="8" bestFit="1" customWidth="1"/>
    <col min="9" max="10" width="11.109375" style="8" customWidth="1"/>
  </cols>
  <sheetData>
    <row r="1" spans="1:10" s="178" customFormat="1" ht="44.4" customHeight="1" thickBot="1" x14ac:dyDescent="0.3">
      <c r="A1" s="162"/>
      <c r="B1" s="163" t="s">
        <v>134</v>
      </c>
      <c r="C1" s="164" t="s">
        <v>23</v>
      </c>
      <c r="D1" s="165" t="s">
        <v>36</v>
      </c>
      <c r="E1" s="165" t="s">
        <v>63</v>
      </c>
      <c r="F1" s="166" t="s">
        <v>37</v>
      </c>
      <c r="G1" s="167" t="s">
        <v>38</v>
      </c>
      <c r="H1" s="168" t="s">
        <v>165</v>
      </c>
      <c r="I1" s="169" t="s">
        <v>24</v>
      </c>
      <c r="J1" s="169" t="s">
        <v>166</v>
      </c>
    </row>
    <row r="2" spans="1:10" ht="15.6" x14ac:dyDescent="0.25">
      <c r="A2" s="19">
        <v>1</v>
      </c>
      <c r="B2" s="60" t="s">
        <v>120</v>
      </c>
      <c r="C2" s="171" t="s">
        <v>169</v>
      </c>
      <c r="D2" s="172" t="s">
        <v>42</v>
      </c>
      <c r="E2" s="182"/>
      <c r="F2" s="174">
        <f>SUMIF('Résultats Ligues et Amical'!$D:$D,"=ROUCHON Xavier",'Résultats Ligues et Amical'!E:E)</f>
        <v>9797</v>
      </c>
      <c r="G2" s="177">
        <f>SUMIF('Résultats Ligues et Amical'!$D:$D,"=ROUCHON Xavier",'Résultats Ligues et Amical'!F:F)</f>
        <v>51</v>
      </c>
      <c r="H2" s="186">
        <f t="shared" ref="H2:H36" si="0">F2/G2</f>
        <v>192.09803921568627</v>
      </c>
      <c r="I2" s="55">
        <v>19</v>
      </c>
      <c r="J2" s="176">
        <f t="shared" ref="J2:J36" si="1">H2+I2</f>
        <v>211.09803921568627</v>
      </c>
    </row>
    <row r="3" spans="1:10" ht="15.6" x14ac:dyDescent="0.25">
      <c r="A3" s="123">
        <v>2</v>
      </c>
      <c r="B3" s="159" t="s">
        <v>230</v>
      </c>
      <c r="C3" s="171" t="s">
        <v>127</v>
      </c>
      <c r="D3" s="172" t="s">
        <v>42</v>
      </c>
      <c r="E3" s="182"/>
      <c r="F3" s="174">
        <f>SUMIF('Résultats Ligues et Amical'!$D:$D,"=FAVREAU Gael",'Résultats Ligues et Amical'!E:E)</f>
        <v>5806</v>
      </c>
      <c r="G3" s="177">
        <f>SUMIF('Résultats Ligues et Amical'!$D:$D,"=FAVREAU Gael",'Résultats Ligues et Amical'!F:F)</f>
        <v>32</v>
      </c>
      <c r="H3" s="186">
        <f t="shared" si="0"/>
        <v>181.4375</v>
      </c>
      <c r="I3" s="55">
        <v>23</v>
      </c>
      <c r="J3" s="176">
        <f t="shared" si="1"/>
        <v>204.4375</v>
      </c>
    </row>
    <row r="4" spans="1:10" ht="15.6" x14ac:dyDescent="0.25">
      <c r="A4" s="123">
        <v>3</v>
      </c>
      <c r="B4" s="60" t="s">
        <v>296</v>
      </c>
      <c r="C4" s="171" t="s">
        <v>167</v>
      </c>
      <c r="D4" s="172" t="s">
        <v>42</v>
      </c>
      <c r="E4" s="182"/>
      <c r="F4" s="174">
        <f>SUMIF('Résultats Ligues et Amical'!$D:$D,"=FARGEIX Christian",'Résultats Ligues et Amical'!E:E)</f>
        <v>9667</v>
      </c>
      <c r="G4" s="177">
        <f>SUMIF('Résultats Ligues et Amical'!$D:$D,"=FARGEIX Christian",'Résultats Ligues et Amical'!F:F)</f>
        <v>54</v>
      </c>
      <c r="H4" s="186">
        <f t="shared" si="0"/>
        <v>179.0185185185185</v>
      </c>
      <c r="I4" s="55">
        <v>27</v>
      </c>
      <c r="J4" s="176">
        <f t="shared" si="1"/>
        <v>206.0185185185185</v>
      </c>
    </row>
    <row r="5" spans="1:10" ht="15.6" x14ac:dyDescent="0.25">
      <c r="A5" s="123">
        <v>4</v>
      </c>
      <c r="B5" s="60" t="s">
        <v>126</v>
      </c>
      <c r="C5" s="171" t="s">
        <v>168</v>
      </c>
      <c r="D5" s="172" t="s">
        <v>42</v>
      </c>
      <c r="E5" s="182"/>
      <c r="F5" s="174">
        <f>SUMIF('Résultats Ligues et Amical'!$D:$D,"=ESNAULT Eric",'Résultats Ligues et Amical'!E:E)</f>
        <v>2085</v>
      </c>
      <c r="G5" s="175">
        <f>SUMIF('Résultats Ligues et Amical'!$D:$D,"=ESNAULT Eric",'Résultats Ligues et Amical'!F:F)</f>
        <v>12</v>
      </c>
      <c r="H5" s="186">
        <f t="shared" si="0"/>
        <v>173.75</v>
      </c>
      <c r="I5" s="55">
        <v>42</v>
      </c>
      <c r="J5" s="176">
        <f t="shared" si="1"/>
        <v>215.75</v>
      </c>
    </row>
    <row r="6" spans="1:10" ht="15.6" x14ac:dyDescent="0.25">
      <c r="A6" s="123">
        <v>5</v>
      </c>
      <c r="B6" s="62" t="s">
        <v>122</v>
      </c>
      <c r="C6" s="171" t="s">
        <v>221</v>
      </c>
      <c r="D6" s="172" t="s">
        <v>42</v>
      </c>
      <c r="E6" s="182"/>
      <c r="F6" s="174">
        <f>SUMIF('Résultats Ligues et Amical'!$D:$D,"=LE FILOUS Damien",'Résultats Ligues et Amical'!E:E)</f>
        <v>4137</v>
      </c>
      <c r="G6" s="177">
        <f>SUMIF('Résultats Ligues et Amical'!$D:$D,"=LE FILOUS Damien",'Résultats Ligues et Amical'!F:F)</f>
        <v>24</v>
      </c>
      <c r="H6" s="186">
        <f t="shared" si="0"/>
        <v>172.375</v>
      </c>
      <c r="I6" s="55">
        <v>30</v>
      </c>
      <c r="J6" s="176">
        <f t="shared" si="1"/>
        <v>202.375</v>
      </c>
    </row>
    <row r="7" spans="1:10" ht="15.6" x14ac:dyDescent="0.25">
      <c r="A7" s="123">
        <v>6</v>
      </c>
      <c r="B7" s="60" t="s">
        <v>130</v>
      </c>
      <c r="C7" s="171" t="s">
        <v>169</v>
      </c>
      <c r="D7" s="172" t="s">
        <v>42</v>
      </c>
      <c r="E7" s="173"/>
      <c r="F7" s="174">
        <f>SUMIF('Résultats Ligues et Amical'!$D:$D,"=JOUEN Frédéric",'Résultats Ligues et Amical'!E:E)</f>
        <v>3366</v>
      </c>
      <c r="G7" s="175">
        <f>SUMIF('Résultats Ligues et Amical'!$D:$D,"=JOUEN Frédéric",'Résultats Ligues et Amical'!F:F)</f>
        <v>20</v>
      </c>
      <c r="H7" s="186">
        <f t="shared" si="0"/>
        <v>168.3</v>
      </c>
      <c r="I7" s="55">
        <v>36</v>
      </c>
      <c r="J7" s="176">
        <f t="shared" si="1"/>
        <v>204.3</v>
      </c>
    </row>
    <row r="8" spans="1:10" ht="15.6" x14ac:dyDescent="0.25">
      <c r="A8" s="123">
        <v>7</v>
      </c>
      <c r="B8" s="62" t="s">
        <v>114</v>
      </c>
      <c r="C8" s="171" t="s">
        <v>167</v>
      </c>
      <c r="D8" s="172" t="s">
        <v>42</v>
      </c>
      <c r="E8" s="182"/>
      <c r="F8" s="174">
        <f>SUMIF('Résultats Ligues et Amical'!$D:$D,"=DELORT Philippe",'Résultats Ligues et Amical'!E:E)</f>
        <v>5373</v>
      </c>
      <c r="G8" s="177">
        <f>SUMIF('Résultats Ligues et Amical'!$D:$D,"=DELORT Philippe",'Résultats Ligues et Amical'!F:F)</f>
        <v>32</v>
      </c>
      <c r="H8" s="186">
        <f t="shared" si="0"/>
        <v>167.90625</v>
      </c>
      <c r="I8" s="55">
        <v>37</v>
      </c>
      <c r="J8" s="176">
        <f t="shared" si="1"/>
        <v>204.90625</v>
      </c>
    </row>
    <row r="9" spans="1:10" ht="15.6" x14ac:dyDescent="0.25">
      <c r="A9" s="123">
        <v>8</v>
      </c>
      <c r="B9" s="60" t="s">
        <v>121</v>
      </c>
      <c r="C9" s="171" t="s">
        <v>169</v>
      </c>
      <c r="D9" s="172" t="s">
        <v>42</v>
      </c>
      <c r="E9" s="182"/>
      <c r="F9" s="174">
        <f>SUMIF('Résultats Ligues et Amical'!$D:$D,"=CROVATTO Philippe",'Résultats Ligues et Amical'!E:E)</f>
        <v>7247</v>
      </c>
      <c r="G9" s="177">
        <f>SUMIF('Résultats Ligues et Amical'!$D:$D,"=CROVATTO Philippe",'Résultats Ligues et Amical'!F:F)</f>
        <v>44</v>
      </c>
      <c r="H9" s="186">
        <f t="shared" si="0"/>
        <v>164.70454545454547</v>
      </c>
      <c r="I9" s="55">
        <v>35</v>
      </c>
      <c r="J9" s="176">
        <f t="shared" si="1"/>
        <v>199.70454545454547</v>
      </c>
    </row>
    <row r="10" spans="1:10" ht="15.6" x14ac:dyDescent="0.25">
      <c r="A10" s="123">
        <v>9</v>
      </c>
      <c r="B10" s="60" t="s">
        <v>409</v>
      </c>
      <c r="C10" s="171" t="s">
        <v>168</v>
      </c>
      <c r="D10" s="172" t="s">
        <v>42</v>
      </c>
      <c r="E10" s="173"/>
      <c r="F10" s="174">
        <f>SUMIF('Résultats Ligues et Amical'!$D:$D,"=CARRIC Olivier",'Résultats Ligues et Amical'!E:E)</f>
        <v>1955</v>
      </c>
      <c r="G10" s="175">
        <f>SUMIF('Résultats Ligues et Amical'!$D:$D,"=CARRIC Olivier",'Résultats Ligues et Amical'!F:F)</f>
        <v>12</v>
      </c>
      <c r="H10" s="186">
        <f t="shared" si="0"/>
        <v>162.91666666666666</v>
      </c>
      <c r="I10" s="55">
        <v>42</v>
      </c>
      <c r="J10" s="176">
        <f t="shared" si="1"/>
        <v>204.91666666666666</v>
      </c>
    </row>
    <row r="11" spans="1:10" ht="15.6" x14ac:dyDescent="0.25">
      <c r="A11" s="123">
        <v>10</v>
      </c>
      <c r="B11" s="60" t="s">
        <v>131</v>
      </c>
      <c r="C11" s="171" t="s">
        <v>167</v>
      </c>
      <c r="D11" s="172" t="s">
        <v>42</v>
      </c>
      <c r="E11" s="173"/>
      <c r="F11" s="174">
        <f>SUMIF('Résultats Ligues et Amical'!$D:$D,"=JOURNIAC Christian",'Résultats Ligues et Amical'!E:E)</f>
        <v>5370</v>
      </c>
      <c r="G11" s="177">
        <f>SUMIF('Résultats Ligues et Amical'!$D:$D,"=JOURNIAC Christian",'Résultats Ligues et Amical'!F:F)</f>
        <v>33</v>
      </c>
      <c r="H11" s="186">
        <f t="shared" si="0"/>
        <v>162.72727272727272</v>
      </c>
      <c r="I11" s="55">
        <v>44</v>
      </c>
      <c r="J11" s="176">
        <f t="shared" si="1"/>
        <v>206.72727272727272</v>
      </c>
    </row>
    <row r="12" spans="1:10" ht="15.6" x14ac:dyDescent="0.25">
      <c r="A12" s="123">
        <v>11</v>
      </c>
      <c r="B12" s="60" t="s">
        <v>262</v>
      </c>
      <c r="C12" s="171" t="s">
        <v>169</v>
      </c>
      <c r="D12" s="172" t="s">
        <v>42</v>
      </c>
      <c r="E12" s="173"/>
      <c r="F12" s="174">
        <f>SUMIF('Résultats Ligues et Amical'!$D:$D,"=HUCHET Stéphane",'Résultats Ligues et Amical'!E:E)</f>
        <v>6505</v>
      </c>
      <c r="G12" s="177">
        <f>SUMIF('Résultats Ligues et Amical'!$D:$D,"=HUCHET Stéphane",'Résultats Ligues et Amical'!F:F)</f>
        <v>40</v>
      </c>
      <c r="H12" s="186">
        <f t="shared" si="0"/>
        <v>162.625</v>
      </c>
      <c r="I12" s="55">
        <v>39</v>
      </c>
      <c r="J12" s="176">
        <f t="shared" si="1"/>
        <v>201.625</v>
      </c>
    </row>
    <row r="13" spans="1:10" ht="15.6" x14ac:dyDescent="0.25">
      <c r="A13" s="123">
        <v>12</v>
      </c>
      <c r="B13" s="60" t="s">
        <v>269</v>
      </c>
      <c r="C13" s="171" t="s">
        <v>167</v>
      </c>
      <c r="D13" s="172" t="s">
        <v>42</v>
      </c>
      <c r="E13" s="182"/>
      <c r="F13" s="174">
        <f>SUMIF('Résultats Ligues et Amical'!$D:$D,"=FAYEMENDY Michel",'Résultats Ligues et Amical'!E:E)</f>
        <v>5321</v>
      </c>
      <c r="G13" s="177">
        <f>SUMIF('Résultats Ligues et Amical'!$D:$D,"=FAYEMENDY Michel",'Résultats Ligues et Amical'!F:F)</f>
        <v>33</v>
      </c>
      <c r="H13" s="186">
        <f t="shared" si="0"/>
        <v>161.24242424242425</v>
      </c>
      <c r="I13" s="55">
        <v>42</v>
      </c>
      <c r="J13" s="176">
        <f t="shared" si="1"/>
        <v>203.24242424242425</v>
      </c>
    </row>
    <row r="14" spans="1:10" ht="15.6" x14ac:dyDescent="0.25">
      <c r="A14" s="123">
        <v>13</v>
      </c>
      <c r="B14" s="60" t="s">
        <v>124</v>
      </c>
      <c r="C14" s="171" t="s">
        <v>168</v>
      </c>
      <c r="D14" s="172" t="s">
        <v>42</v>
      </c>
      <c r="E14" s="173"/>
      <c r="F14" s="174">
        <f>SUMIF('Résultats Ligues et Amical'!$D:$D,"=BOUZOU Francis",'Résultats Ligues et Amical'!E:E)</f>
        <v>7695</v>
      </c>
      <c r="G14" s="177">
        <f>SUMIF('Résultats Ligues et Amical'!$D:$D,"=BOUZOU Francis",'Résultats Ligues et Amical'!F:F)</f>
        <v>48</v>
      </c>
      <c r="H14" s="186">
        <f t="shared" si="0"/>
        <v>160.3125</v>
      </c>
      <c r="I14" s="55">
        <v>42</v>
      </c>
      <c r="J14" s="176">
        <f t="shared" si="1"/>
        <v>202.3125</v>
      </c>
    </row>
    <row r="15" spans="1:10" ht="15.6" x14ac:dyDescent="0.25">
      <c r="A15" s="123">
        <v>14</v>
      </c>
      <c r="B15" s="60" t="s">
        <v>223</v>
      </c>
      <c r="C15" s="171" t="s">
        <v>168</v>
      </c>
      <c r="D15" s="172" t="s">
        <v>42</v>
      </c>
      <c r="E15" s="173"/>
      <c r="F15" s="174">
        <f>SUMIF('Résultats Ligues et Amical'!$D:$D,"=JOUBERT Joel",'Résultats Ligues et Amical'!E:E)</f>
        <v>3841</v>
      </c>
      <c r="G15" s="177">
        <f>SUMIF('Résultats Ligues et Amical'!$D:$D,"=JOUBERT Joel",'Résultats Ligues et Amical'!F:F)</f>
        <v>24</v>
      </c>
      <c r="H15" s="186">
        <f t="shared" si="0"/>
        <v>160.04166666666666</v>
      </c>
      <c r="I15" s="55">
        <v>37</v>
      </c>
      <c r="J15" s="176">
        <f t="shared" si="1"/>
        <v>197.04166666666666</v>
      </c>
    </row>
    <row r="16" spans="1:10" ht="15.6" x14ac:dyDescent="0.25">
      <c r="A16" s="123">
        <v>15</v>
      </c>
      <c r="B16" s="61" t="s">
        <v>219</v>
      </c>
      <c r="C16" s="171" t="s">
        <v>168</v>
      </c>
      <c r="D16" s="172" t="s">
        <v>42</v>
      </c>
      <c r="E16" s="173"/>
      <c r="F16" s="174">
        <f>SUMIF('Résultats Ligues et Amical'!$D:$D,"=RITHIE Régis",'Résultats Ligues et Amical'!E:E)</f>
        <v>6121</v>
      </c>
      <c r="G16" s="177">
        <f>SUMIF('Résultats Ligues et Amical'!$D:$D,"=RITHIE Régis",'Résultats Ligues et Amical'!F:F)</f>
        <v>39</v>
      </c>
      <c r="H16" s="186">
        <f t="shared" si="0"/>
        <v>156.94871794871796</v>
      </c>
      <c r="I16" s="55">
        <v>35</v>
      </c>
      <c r="J16" s="176">
        <f t="shared" si="1"/>
        <v>191.94871794871796</v>
      </c>
    </row>
    <row r="17" spans="1:10" ht="15.6" x14ac:dyDescent="0.25">
      <c r="A17" s="123">
        <v>16</v>
      </c>
      <c r="B17" s="114" t="s">
        <v>117</v>
      </c>
      <c r="C17" s="171" t="s">
        <v>168</v>
      </c>
      <c r="D17" s="180" t="s">
        <v>15</v>
      </c>
      <c r="E17" s="183"/>
      <c r="F17" s="174">
        <f>SUMIF('Résultats Ligues et Amical'!$D:$D,"=DELORT Valérie",'Résultats Ligues et Amical'!E:E)</f>
        <v>3094</v>
      </c>
      <c r="G17" s="175">
        <f>SUMIF('Résultats Ligues et Amical'!$D:$D,"=DELORT Valérie",'Résultats Ligues et Amical'!F:F)</f>
        <v>20</v>
      </c>
      <c r="H17" s="186">
        <f t="shared" si="0"/>
        <v>154.69999999999999</v>
      </c>
      <c r="I17" s="55">
        <v>46</v>
      </c>
      <c r="J17" s="176">
        <f t="shared" si="1"/>
        <v>200.7</v>
      </c>
    </row>
    <row r="18" spans="1:10" ht="15.6" x14ac:dyDescent="0.25">
      <c r="A18" s="123">
        <v>17</v>
      </c>
      <c r="B18" s="62" t="s">
        <v>118</v>
      </c>
      <c r="C18" s="171" t="s">
        <v>167</v>
      </c>
      <c r="D18" s="172" t="s">
        <v>42</v>
      </c>
      <c r="E18" s="182"/>
      <c r="F18" s="174">
        <f>SUMIF('Résultats Ligues et Amical'!$D:$D,"=BONNET Jean Claude",'Résultats Ligues et Amical'!E:E)</f>
        <v>6799</v>
      </c>
      <c r="G18" s="177">
        <f>SUMIF('Résultats Ligues et Amical'!$D:$D,"=BONNET Jean Claude",'Résultats Ligues et Amical'!F:F)</f>
        <v>44</v>
      </c>
      <c r="H18" s="186">
        <f t="shared" si="0"/>
        <v>154.52272727272728</v>
      </c>
      <c r="I18" s="55">
        <v>42</v>
      </c>
      <c r="J18" s="176">
        <f t="shared" si="1"/>
        <v>196.52272727272728</v>
      </c>
    </row>
    <row r="19" spans="1:10" ht="15.6" x14ac:dyDescent="0.25">
      <c r="A19" s="123">
        <v>18</v>
      </c>
      <c r="B19" s="60" t="s">
        <v>132</v>
      </c>
      <c r="C19" s="171" t="s">
        <v>168</v>
      </c>
      <c r="D19" s="172" t="s">
        <v>42</v>
      </c>
      <c r="E19" s="182"/>
      <c r="F19" s="174">
        <f>SUMIF('Résultats Ligues et Amical'!$D:$D,"=LE FILOUS Claude",'Résultats Ligues et Amical'!E:E)</f>
        <v>3060</v>
      </c>
      <c r="G19" s="175">
        <f>SUMIF('Résultats Ligues et Amical'!$D:$D,"=LE FILOUS Claude",'Résultats Ligues et Amical'!F:F)</f>
        <v>20</v>
      </c>
      <c r="H19" s="186">
        <f t="shared" si="0"/>
        <v>153</v>
      </c>
      <c r="I19" s="55">
        <v>46</v>
      </c>
      <c r="J19" s="176">
        <f t="shared" si="1"/>
        <v>199</v>
      </c>
    </row>
    <row r="20" spans="1:10" ht="15.6" x14ac:dyDescent="0.25">
      <c r="A20" s="123">
        <v>19</v>
      </c>
      <c r="B20" s="115" t="s">
        <v>129</v>
      </c>
      <c r="C20" s="171" t="s">
        <v>168</v>
      </c>
      <c r="D20" s="180" t="s">
        <v>15</v>
      </c>
      <c r="E20" s="181"/>
      <c r="F20" s="174">
        <f>SUMIF('Résultats Ligues et Amical'!$D:$D,"=GOUTTORBE Yveline",'Résultats Ligues et Amical'!E:E)</f>
        <v>2996</v>
      </c>
      <c r="G20" s="175">
        <f>SUMIF('Résultats Ligues et Amical'!$D:$D,"=GOUTTORBE Yveline",'Résultats Ligues et Amical'!F:F)</f>
        <v>20</v>
      </c>
      <c r="H20" s="186">
        <f t="shared" si="0"/>
        <v>149.80000000000001</v>
      </c>
      <c r="I20" s="55">
        <v>51</v>
      </c>
      <c r="J20" s="176">
        <f t="shared" si="1"/>
        <v>200.8</v>
      </c>
    </row>
    <row r="21" spans="1:10" ht="15.6" x14ac:dyDescent="0.25">
      <c r="A21" s="45">
        <v>20</v>
      </c>
      <c r="B21" s="125" t="s">
        <v>217</v>
      </c>
      <c r="C21" s="171" t="s">
        <v>221</v>
      </c>
      <c r="D21" s="180" t="s">
        <v>15</v>
      </c>
      <c r="E21" s="181"/>
      <c r="F21" s="174">
        <f>SUMIF('Résultats Ligues et Amical'!$D:$D,"=GATEAU Emma",'Résultats Ligues et Amical'!E:E)</f>
        <v>2375</v>
      </c>
      <c r="G21" s="175">
        <f>SUMIF('Résultats Ligues et Amical'!$D:$D,"=GATEAU Emma",'Résultats Ligues et Amical'!F:F)</f>
        <v>16</v>
      </c>
      <c r="H21" s="186">
        <f t="shared" si="0"/>
        <v>148.4375</v>
      </c>
      <c r="I21" s="55">
        <v>57</v>
      </c>
      <c r="J21" s="176">
        <f t="shared" si="1"/>
        <v>205.4375</v>
      </c>
    </row>
    <row r="22" spans="1:10" ht="15.6" x14ac:dyDescent="0.25">
      <c r="A22" s="123">
        <v>21</v>
      </c>
      <c r="B22" s="60" t="s">
        <v>267</v>
      </c>
      <c r="C22" s="171" t="s">
        <v>167</v>
      </c>
      <c r="D22" s="172" t="s">
        <v>42</v>
      </c>
      <c r="E22" s="182"/>
      <c r="F22" s="174">
        <f>SUMIF('Résultats Ligues et Amical'!$D:$D,"=SOLARI Joseph",'Résultats Ligues et Amical'!E:E)</f>
        <v>2367</v>
      </c>
      <c r="G22" s="175">
        <f>SUMIF('Résultats Ligues et Amical'!$D:$D,"=SOLARI Joseph",'Résultats Ligues et Amical'!F:F)</f>
        <v>16</v>
      </c>
      <c r="H22" s="186">
        <f t="shared" si="0"/>
        <v>147.9375</v>
      </c>
      <c r="I22" s="55">
        <v>41</v>
      </c>
      <c r="J22" s="176">
        <f t="shared" si="1"/>
        <v>188.9375</v>
      </c>
    </row>
    <row r="23" spans="1:10" ht="15.6" x14ac:dyDescent="0.25">
      <c r="A23" s="123">
        <v>22</v>
      </c>
      <c r="B23" s="125" t="s">
        <v>218</v>
      </c>
      <c r="C23" s="171" t="s">
        <v>167</v>
      </c>
      <c r="D23" s="180" t="s">
        <v>15</v>
      </c>
      <c r="E23" s="183"/>
      <c r="F23" s="174">
        <f>SUMIF('Résultats Ligues et Amical'!$D:$D,"=GARCIA Sabine",'Résultats Ligues et Amical'!E:E)</f>
        <v>9386</v>
      </c>
      <c r="G23" s="177">
        <f>SUMIF('Résultats Ligues et Amical'!$D:$D,"=GARCIA Sabine",'Résultats Ligues et Amical'!F:F)</f>
        <v>64</v>
      </c>
      <c r="H23" s="186">
        <f t="shared" si="0"/>
        <v>146.65625</v>
      </c>
      <c r="I23" s="55">
        <v>46</v>
      </c>
      <c r="J23" s="176">
        <f t="shared" si="1"/>
        <v>192.65625</v>
      </c>
    </row>
    <row r="24" spans="1:10" ht="15.6" x14ac:dyDescent="0.25">
      <c r="A24" s="123">
        <v>23</v>
      </c>
      <c r="B24" s="125" t="s">
        <v>411</v>
      </c>
      <c r="C24" s="71" t="s">
        <v>167</v>
      </c>
      <c r="D24" s="86" t="s">
        <v>15</v>
      </c>
      <c r="E24" s="41"/>
      <c r="F24" s="174">
        <f>SUMIF('Résultats Ligues et Amical'!$D:$D,"=NIVET Muriel",'Résultats Ligues et Amical'!E:E)</f>
        <v>6419</v>
      </c>
      <c r="G24" s="177">
        <f>SUMIF('Résultats Ligues et Amical'!$D:$D,"=NIVET Muriel",'Résultats Ligues et Amical'!F:F)</f>
        <v>44</v>
      </c>
      <c r="H24" s="186">
        <f t="shared" si="0"/>
        <v>145.88636363636363</v>
      </c>
      <c r="I24" s="55">
        <v>49</v>
      </c>
      <c r="J24" s="176">
        <f t="shared" si="1"/>
        <v>194.88636363636363</v>
      </c>
    </row>
    <row r="25" spans="1:10" ht="15.6" x14ac:dyDescent="0.25">
      <c r="A25" s="123">
        <v>24</v>
      </c>
      <c r="B25" s="60" t="s">
        <v>125</v>
      </c>
      <c r="C25" s="171" t="s">
        <v>167</v>
      </c>
      <c r="D25" s="172" t="s">
        <v>42</v>
      </c>
      <c r="E25" s="173"/>
      <c r="F25" s="174">
        <f>SUMIF('Résultats Ligues et Amical'!$D:$D,"=HERVAULT Daniel",'Résultats Ligues et Amical'!E:E)</f>
        <v>4072</v>
      </c>
      <c r="G25" s="177">
        <f>SUMIF('Résultats Ligues et Amical'!$D:$D,"=HERVAULT Daniel",'Résultats Ligues et Amical'!F:F)</f>
        <v>28</v>
      </c>
      <c r="H25" s="186">
        <f t="shared" si="0"/>
        <v>145.42857142857142</v>
      </c>
      <c r="I25" s="55">
        <v>54</v>
      </c>
      <c r="J25" s="176">
        <f t="shared" si="1"/>
        <v>199.42857142857142</v>
      </c>
    </row>
    <row r="26" spans="1:10" ht="15.6" x14ac:dyDescent="0.25">
      <c r="A26" s="123">
        <v>25</v>
      </c>
      <c r="B26" s="159" t="s">
        <v>224</v>
      </c>
      <c r="C26" s="171" t="s">
        <v>432</v>
      </c>
      <c r="D26" s="172" t="s">
        <v>42</v>
      </c>
      <c r="E26" s="182"/>
      <c r="F26" s="174">
        <f>SUMIF('Résultats Ligues et Amical'!$D:$D,"=TERRIEN Yanis",'Résultats Ligues et Amical'!E:E)</f>
        <v>577</v>
      </c>
      <c r="G26" s="175">
        <f>SUMIF('Résultats Ligues et Amical'!$D:$D,"=TERRIEN Yanis",'Résultats Ligues et Amical'!F:F)</f>
        <v>4</v>
      </c>
      <c r="H26" s="186">
        <f t="shared" si="0"/>
        <v>144.25</v>
      </c>
      <c r="I26" s="55">
        <v>61</v>
      </c>
      <c r="J26" s="176">
        <f t="shared" si="1"/>
        <v>205.25</v>
      </c>
    </row>
    <row r="27" spans="1:10" ht="15.6" x14ac:dyDescent="0.25">
      <c r="A27" s="123">
        <v>26</v>
      </c>
      <c r="B27" s="115" t="s">
        <v>297</v>
      </c>
      <c r="C27" s="171" t="s">
        <v>221</v>
      </c>
      <c r="D27" s="180" t="s">
        <v>15</v>
      </c>
      <c r="E27" s="181"/>
      <c r="F27" s="174">
        <f>SUMIF('Résultats Ligues et Amical'!$D:$D,"=FARGEIX Florence",'Résultats Ligues et Amical'!E:E)</f>
        <v>1146</v>
      </c>
      <c r="G27" s="175">
        <f>SUMIF('Résultats Ligues et Amical'!$D:$D,"=FARGEIX Florence",'Résultats Ligues et Amical'!F:F)</f>
        <v>8</v>
      </c>
      <c r="H27" s="186">
        <f t="shared" si="0"/>
        <v>143.25</v>
      </c>
      <c r="I27" s="55">
        <v>51</v>
      </c>
      <c r="J27" s="176">
        <f t="shared" si="1"/>
        <v>194.25</v>
      </c>
    </row>
    <row r="28" spans="1:10" ht="15.6" x14ac:dyDescent="0.25">
      <c r="A28" s="123">
        <v>27</v>
      </c>
      <c r="B28" s="61" t="s">
        <v>263</v>
      </c>
      <c r="C28" s="171" t="s">
        <v>167</v>
      </c>
      <c r="D28" s="172" t="s">
        <v>42</v>
      </c>
      <c r="E28" s="173"/>
      <c r="F28" s="174">
        <f>SUMIF('Résultats Ligues et Amical'!$D:$D,"=OLAGNIER Gérard",'Résultats Ligues et Amical'!E:E)</f>
        <v>8455</v>
      </c>
      <c r="G28" s="177">
        <f>SUMIF('Résultats Ligues et Amical'!$D:$D,"=OLAGNIER Gérard",'Résultats Ligues et Amical'!F:F)</f>
        <v>60</v>
      </c>
      <c r="H28" s="186">
        <f t="shared" si="0"/>
        <v>140.91666666666666</v>
      </c>
      <c r="I28" s="55">
        <v>52</v>
      </c>
      <c r="J28" s="176">
        <f t="shared" si="1"/>
        <v>192.91666666666666</v>
      </c>
    </row>
    <row r="29" spans="1:10" ht="15.6" x14ac:dyDescent="0.25">
      <c r="A29" s="123">
        <v>28</v>
      </c>
      <c r="B29" s="61" t="s">
        <v>410</v>
      </c>
      <c r="C29" s="71" t="s">
        <v>167</v>
      </c>
      <c r="D29" s="87" t="s">
        <v>42</v>
      </c>
      <c r="E29" s="42"/>
      <c r="F29" s="174">
        <f>SUMIF('Résultats Ligues et Amical'!$D:$D,"=NIVET Jean-Pierre",'Résultats Ligues et Amical'!E:E)</f>
        <v>6091</v>
      </c>
      <c r="G29" s="177">
        <f>SUMIF('Résultats Ligues et Amical'!$D:$D,"=NIVET Jean-Pierre",'Résultats Ligues et Amical'!F:F)</f>
        <v>44</v>
      </c>
      <c r="H29" s="186">
        <f t="shared" si="0"/>
        <v>138.43181818181819</v>
      </c>
      <c r="I29" s="55">
        <v>66</v>
      </c>
      <c r="J29" s="176">
        <f t="shared" si="1"/>
        <v>204.43181818181819</v>
      </c>
    </row>
    <row r="30" spans="1:10" ht="15.6" x14ac:dyDescent="0.25">
      <c r="A30" s="123">
        <v>29</v>
      </c>
      <c r="B30" s="115" t="s">
        <v>268</v>
      </c>
      <c r="C30" s="71" t="s">
        <v>169</v>
      </c>
      <c r="D30" s="86" t="s">
        <v>15</v>
      </c>
      <c r="E30" s="41"/>
      <c r="F30" s="174">
        <f>SUMIF('Résultats Ligues et Amical'!$D:$D,"=MARION Christine",'Résultats Ligues et Amical'!E:E)</f>
        <v>7075</v>
      </c>
      <c r="G30" s="177">
        <f>SUMIF('Résultats Ligues et Amical'!$D:$D,"=MARION Christine",'Résultats Ligues et Amical'!F:F)</f>
        <v>52</v>
      </c>
      <c r="H30" s="186">
        <f t="shared" si="0"/>
        <v>136.05769230769232</v>
      </c>
      <c r="I30" s="55">
        <v>58</v>
      </c>
      <c r="J30" s="176">
        <f t="shared" si="1"/>
        <v>194.05769230769232</v>
      </c>
    </row>
    <row r="31" spans="1:10" ht="15.6" x14ac:dyDescent="0.25">
      <c r="A31" s="123">
        <v>30</v>
      </c>
      <c r="B31" s="115" t="s">
        <v>123</v>
      </c>
      <c r="C31" s="171" t="s">
        <v>167</v>
      </c>
      <c r="D31" s="180" t="s">
        <v>15</v>
      </c>
      <c r="E31" s="181"/>
      <c r="F31" s="174">
        <f>SUMIF('Résultats Ligues et Amical'!$D:$D,"=ESNAULT Michèle",'Résultats Ligues et Amical'!E:E)</f>
        <v>5379</v>
      </c>
      <c r="G31" s="177">
        <f>SUMIF('Résultats Ligues et Amical'!$D:$D,"=ESNAULT Michèle",'Résultats Ligues et Amical'!F:F)</f>
        <v>40</v>
      </c>
      <c r="H31" s="186">
        <f t="shared" si="0"/>
        <v>134.47499999999999</v>
      </c>
      <c r="I31" s="55">
        <v>51</v>
      </c>
      <c r="J31" s="176">
        <f t="shared" si="1"/>
        <v>185.47499999999999</v>
      </c>
    </row>
    <row r="32" spans="1:10" ht="15.6" x14ac:dyDescent="0.25">
      <c r="A32" s="123">
        <v>31</v>
      </c>
      <c r="B32" s="60" t="s">
        <v>128</v>
      </c>
      <c r="C32" s="171" t="s">
        <v>167</v>
      </c>
      <c r="D32" s="172" t="s">
        <v>42</v>
      </c>
      <c r="E32" s="173"/>
      <c r="F32" s="174">
        <f>SUMIF('Résultats Ligues et Amical'!$D:$D,"=DURON Eric",'Résultats Ligues et Amical'!E:E)</f>
        <v>1568</v>
      </c>
      <c r="G32" s="175">
        <f>SUMIF('Résultats Ligues et Amical'!$D:$D,"=DURON Eric",'Résultats Ligues et Amical'!F:F)</f>
        <v>12</v>
      </c>
      <c r="H32" s="186">
        <f t="shared" si="0"/>
        <v>130.66666666666666</v>
      </c>
      <c r="I32" s="55">
        <v>51</v>
      </c>
      <c r="J32" s="176">
        <f t="shared" si="1"/>
        <v>181.66666666666666</v>
      </c>
    </row>
    <row r="33" spans="1:10" ht="15.6" x14ac:dyDescent="0.25">
      <c r="A33" s="123">
        <v>32</v>
      </c>
      <c r="B33" s="60" t="s">
        <v>276</v>
      </c>
      <c r="C33" s="71" t="s">
        <v>168</v>
      </c>
      <c r="D33" s="172" t="s">
        <v>42</v>
      </c>
      <c r="E33" s="42"/>
      <c r="F33" s="174">
        <f>SUMIF('Résultats Ligues et Amical'!$D:$D,"=DUVAL Franck",'Résultats Ligues et Amical'!E:E)</f>
        <v>2061</v>
      </c>
      <c r="G33" s="175">
        <f>SUMIF('Résultats Ligues et Amical'!$D:$D,"=DUVAL Franck",'Résultats Ligues et Amical'!F:F)</f>
        <v>16</v>
      </c>
      <c r="H33" s="186">
        <f t="shared" si="0"/>
        <v>128.8125</v>
      </c>
      <c r="I33" s="55">
        <v>62</v>
      </c>
      <c r="J33" s="176">
        <f t="shared" si="1"/>
        <v>190.8125</v>
      </c>
    </row>
    <row r="34" spans="1:10" ht="15.6" x14ac:dyDescent="0.25">
      <c r="A34" s="123">
        <v>33</v>
      </c>
      <c r="B34" s="125" t="s">
        <v>179</v>
      </c>
      <c r="C34" s="171" t="s">
        <v>169</v>
      </c>
      <c r="D34" s="180" t="s">
        <v>15</v>
      </c>
      <c r="E34" s="181"/>
      <c r="F34" s="174">
        <f>SUMIF('Résultats Ligues et Amical'!$D:$D,"=CROVATTO Christine",'Résultats Ligues et Amical'!E:E)</f>
        <v>5508</v>
      </c>
      <c r="G34" s="177">
        <f>SUMIF('Résultats Ligues et Amical'!$D:$D,"=CROVATTO Christine",'Résultats Ligues et Amical'!F:F)</f>
        <v>44</v>
      </c>
      <c r="H34" s="186">
        <f t="shared" si="0"/>
        <v>125.18181818181819</v>
      </c>
      <c r="I34" s="55">
        <v>61</v>
      </c>
      <c r="J34" s="176">
        <f t="shared" si="1"/>
        <v>186.18181818181819</v>
      </c>
    </row>
    <row r="35" spans="1:10" ht="15.6" x14ac:dyDescent="0.25">
      <c r="A35" s="123">
        <v>34</v>
      </c>
      <c r="B35" s="159" t="s">
        <v>622</v>
      </c>
      <c r="C35" s="171" t="s">
        <v>127</v>
      </c>
      <c r="D35" s="172" t="s">
        <v>42</v>
      </c>
      <c r="E35" s="173"/>
      <c r="F35" s="174">
        <f>SUMIF('Résultats Ligues et Amical'!$D:$D,"=Guyot Stéphane",'Résultats Ligues et Amical'!E:E)</f>
        <v>467</v>
      </c>
      <c r="G35" s="175">
        <f>SUMIF('Résultats Ligues et Amical'!$D:$D,"=Guyot Stéphane",'Résultats Ligues et Amical'!F:F)</f>
        <v>4</v>
      </c>
      <c r="H35" s="186">
        <f t="shared" si="0"/>
        <v>116.75</v>
      </c>
      <c r="I35" s="55">
        <v>40</v>
      </c>
      <c r="J35" s="176">
        <f t="shared" si="1"/>
        <v>156.75</v>
      </c>
    </row>
    <row r="36" spans="1:10" ht="15.6" x14ac:dyDescent="0.25">
      <c r="A36" s="123">
        <v>35</v>
      </c>
      <c r="B36" s="115" t="s">
        <v>645</v>
      </c>
      <c r="C36" s="71" t="s">
        <v>167</v>
      </c>
      <c r="D36" s="86" t="s">
        <v>15</v>
      </c>
      <c r="E36" s="40"/>
      <c r="F36" s="174">
        <f>SUMIF('Résultats Ligues et Amical'!$D:$D,"=ESDOLUC Elisabeth",'Résultats Ligues et Amical'!E:E)</f>
        <v>898</v>
      </c>
      <c r="G36" s="175">
        <f>SUMIF('Résultats Ligues et Amical'!$D:$D,"=ESDOLUC Elisabeth",'Résultats Ligues et Amical'!F:F)</f>
        <v>8</v>
      </c>
      <c r="H36" s="186">
        <f t="shared" si="0"/>
        <v>112.25</v>
      </c>
      <c r="I36" s="55">
        <v>28</v>
      </c>
      <c r="J36" s="176">
        <f t="shared" si="1"/>
        <v>140.25</v>
      </c>
    </row>
    <row r="37" spans="1:10" ht="15.6" x14ac:dyDescent="0.25">
      <c r="B37" s="60"/>
      <c r="C37" s="171"/>
      <c r="D37" s="172"/>
      <c r="E37" s="182"/>
      <c r="F37" s="174"/>
      <c r="G37" s="177"/>
      <c r="H37" s="186"/>
      <c r="I37" s="55"/>
      <c r="J37" s="176"/>
    </row>
    <row r="38" spans="1:10" ht="15.6" x14ac:dyDescent="0.25">
      <c r="A38" s="123">
        <v>36</v>
      </c>
      <c r="B38" s="159" t="s">
        <v>226</v>
      </c>
      <c r="C38" s="171" t="s">
        <v>225</v>
      </c>
      <c r="D38" s="172" t="s">
        <v>42</v>
      </c>
      <c r="E38" s="173"/>
      <c r="F38" s="174">
        <f>SUMIF('Résultats Ligues et Amical'!$D:$D,"=BELOT Léopold",'Résultats Ligues et Amical'!E:E)</f>
        <v>0</v>
      </c>
      <c r="G38" s="175">
        <f>SUMIF('Résultats Ligues et Amical'!$D:$D,"=BELOT Léopold",'Résultats Ligues et Amical'!F:F)</f>
        <v>0</v>
      </c>
      <c r="H38" s="186" t="e">
        <f t="shared" ref="H38:H44" si="2">F38/G38</f>
        <v>#DIV/0!</v>
      </c>
      <c r="I38" s="55">
        <v>49</v>
      </c>
      <c r="J38" s="176" t="e">
        <f t="shared" ref="J38:J44" si="3">H38+I38</f>
        <v>#DIV/0!</v>
      </c>
    </row>
    <row r="39" spans="1:10" ht="15.6" x14ac:dyDescent="0.25">
      <c r="A39" s="123">
        <v>37</v>
      </c>
      <c r="B39" s="226" t="s">
        <v>430</v>
      </c>
      <c r="C39" s="171" t="s">
        <v>168</v>
      </c>
      <c r="D39" s="172" t="s">
        <v>42</v>
      </c>
      <c r="E39" s="173"/>
      <c r="F39" s="174">
        <f>SUMIF('Résultats Ligues et Amical'!$D:$D,"=Guyot Jean Michel",'Résultats Ligues et Amical'!E:E)</f>
        <v>0</v>
      </c>
      <c r="G39" s="175">
        <f>SUMIF('Résultats Ligues et Amical'!$D:$D,"=Morgado Jean Michel",'Résultats Ligues et Amical'!F:F)</f>
        <v>0</v>
      </c>
      <c r="H39" s="186" t="e">
        <f t="shared" si="2"/>
        <v>#DIV/0!</v>
      </c>
      <c r="I39" s="55">
        <v>18</v>
      </c>
      <c r="J39" s="176" t="e">
        <f t="shared" si="3"/>
        <v>#DIV/0!</v>
      </c>
    </row>
    <row r="40" spans="1:10" ht="15.6" x14ac:dyDescent="0.25">
      <c r="A40" s="123">
        <v>38</v>
      </c>
      <c r="B40" s="159" t="s">
        <v>632</v>
      </c>
      <c r="C40" s="171" t="s">
        <v>633</v>
      </c>
      <c r="D40" s="172" t="s">
        <v>42</v>
      </c>
      <c r="E40" s="173"/>
      <c r="F40" s="174">
        <f>SUMIF('Résultats Ligues et Amical'!$D:$D,"=KUBIAK Charlie",'Résultats Ligues et Amical'!E:E)</f>
        <v>0</v>
      </c>
      <c r="G40" s="177">
        <f>SUMIF('Résultats Ligues et Amical'!$D:$D,"=KUBIAK Charlie",'Résultats Ligues et Amical'!F:F)</f>
        <v>0</v>
      </c>
      <c r="H40" s="186" t="e">
        <f t="shared" si="2"/>
        <v>#DIV/0!</v>
      </c>
      <c r="I40" s="55">
        <v>56</v>
      </c>
      <c r="J40" s="176" t="e">
        <f t="shared" si="3"/>
        <v>#DIV/0!</v>
      </c>
    </row>
    <row r="41" spans="1:10" ht="15.6" x14ac:dyDescent="0.25">
      <c r="A41" s="123">
        <v>39</v>
      </c>
      <c r="B41" s="208" t="s">
        <v>325</v>
      </c>
      <c r="C41" s="171" t="s">
        <v>127</v>
      </c>
      <c r="D41" s="180" t="s">
        <v>15</v>
      </c>
      <c r="E41" s="181"/>
      <c r="F41" s="174">
        <f>SUMIF('Résultats Ligues et Amical'!$D:$D,"=LE FILOUS Julie",'Résultats Ligues et Amical'!E:E)</f>
        <v>0</v>
      </c>
      <c r="G41" s="175">
        <f>SUMIF('Résultats Ligues et Amical'!$D:$D,"=LE FILOUS Julie",'Résultats Ligues et Amical'!F:F)</f>
        <v>0</v>
      </c>
      <c r="H41" s="186" t="e">
        <f t="shared" si="2"/>
        <v>#DIV/0!</v>
      </c>
      <c r="I41" s="55">
        <v>33</v>
      </c>
      <c r="J41" s="176" t="e">
        <f t="shared" si="3"/>
        <v>#DIV/0!</v>
      </c>
    </row>
    <row r="42" spans="1:10" ht="15.6" x14ac:dyDescent="0.25">
      <c r="A42" s="123">
        <v>40</v>
      </c>
      <c r="B42" s="208" t="s">
        <v>255</v>
      </c>
      <c r="C42" s="171" t="s">
        <v>225</v>
      </c>
      <c r="D42" s="180" t="s">
        <v>15</v>
      </c>
      <c r="E42" s="181"/>
      <c r="F42" s="174">
        <f>SUMIF('Résultats Ligues et Amical'!$D:$D,"=LECOMTE Coline",'Résultats Ligues et Amical'!E:E)</f>
        <v>0</v>
      </c>
      <c r="G42" s="175">
        <f>SUMIF('Résultats Ligues et Amical'!$D:$D,"=LECOMTE Coline",'Résultats Ligues et Amical'!F:F)</f>
        <v>0</v>
      </c>
      <c r="H42" s="186" t="e">
        <f t="shared" si="2"/>
        <v>#DIV/0!</v>
      </c>
      <c r="I42" s="55">
        <v>67</v>
      </c>
      <c r="J42" s="176" t="e">
        <f t="shared" si="3"/>
        <v>#DIV/0!</v>
      </c>
    </row>
    <row r="43" spans="1:10" ht="15.6" x14ac:dyDescent="0.25">
      <c r="A43" s="123">
        <v>41</v>
      </c>
      <c r="B43" s="60" t="s">
        <v>620</v>
      </c>
      <c r="C43" s="171" t="s">
        <v>221</v>
      </c>
      <c r="D43" s="172" t="s">
        <v>42</v>
      </c>
      <c r="E43" s="173"/>
      <c r="F43" s="174">
        <f>SUMIF('Résultats Ligues et Amical'!$D:$D,"=Morgado Jean Claude",'Résultats Ligues et Amical'!E:E)</f>
        <v>0</v>
      </c>
      <c r="G43" s="175">
        <f>SUMIF('Résultats Ligues et Amical'!$D:$D,"=Morgado Jean Claude",'Résultats Ligues et Amical'!F:F)</f>
        <v>0</v>
      </c>
      <c r="H43" s="186" t="e">
        <f t="shared" si="2"/>
        <v>#DIV/0!</v>
      </c>
      <c r="I43" s="55">
        <v>18</v>
      </c>
      <c r="J43" s="176" t="e">
        <f t="shared" si="3"/>
        <v>#DIV/0!</v>
      </c>
    </row>
    <row r="44" spans="1:10" ht="15.6" x14ac:dyDescent="0.25">
      <c r="A44" s="170">
        <v>42</v>
      </c>
      <c r="B44" s="159" t="s">
        <v>433</v>
      </c>
      <c r="C44" s="171" t="s">
        <v>434</v>
      </c>
      <c r="D44" s="87" t="s">
        <v>42</v>
      </c>
      <c r="E44" s="182"/>
      <c r="F44" s="174">
        <f>SUMIF('Résultats Ligues et Amical'!$D:$D,"=TERRIEN Blaise",'Résultats Ligues et Amical'!E:E)</f>
        <v>0</v>
      </c>
      <c r="G44" s="175">
        <f>SUMIF('Résultats Ligues et Amical'!$D:$D,"=TERRIEN Blaise",'Résultats Ligues et Amical'!F:F)</f>
        <v>0</v>
      </c>
      <c r="H44" s="186" t="e">
        <f t="shared" si="2"/>
        <v>#DIV/0!</v>
      </c>
      <c r="I44" s="55">
        <v>80</v>
      </c>
      <c r="J44" s="176" t="e">
        <f t="shared" si="3"/>
        <v>#DIV/0!</v>
      </c>
    </row>
    <row r="45" spans="1:10" ht="15.6" x14ac:dyDescent="0.25">
      <c r="B45" s="179"/>
      <c r="C45" s="171"/>
      <c r="D45" s="172"/>
      <c r="E45" s="182"/>
      <c r="F45" s="174"/>
      <c r="G45" s="177"/>
      <c r="H45" s="186"/>
      <c r="I45" s="177"/>
      <c r="J45" s="176"/>
    </row>
  </sheetData>
  <autoFilter ref="B1:J1" xr:uid="{6755A643-4383-4D93-AA56-E855905E9C5B}">
    <sortState xmlns:xlrd2="http://schemas.microsoft.com/office/spreadsheetml/2017/richdata2" ref="B2:J36">
      <sortCondition descending="1" ref="H1"/>
    </sortState>
  </autoFilter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89" orientation="portrait" r:id="rId1"/>
  <headerFooter alignWithMargins="0">
    <oddHeader>&amp;C&amp;14Classt saison Ligues et Amical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17A16-9943-4EB9-9643-47B8B0FCBF09}">
  <sheetPr>
    <pageSetUpPr fitToPage="1"/>
  </sheetPr>
  <dimension ref="A1:K44"/>
  <sheetViews>
    <sheetView workbookViewId="0">
      <pane ySplit="1" topLeftCell="A2" activePane="bottomLeft" state="frozenSplit"/>
      <selection pane="bottomLeft" activeCell="L3" sqref="L3"/>
    </sheetView>
  </sheetViews>
  <sheetFormatPr baseColWidth="10" defaultRowHeight="13.2" x14ac:dyDescent="0.25"/>
  <cols>
    <col min="1" max="1" width="3.88671875" style="123" customWidth="1"/>
    <col min="2" max="2" width="28.44140625" style="8" customWidth="1"/>
    <col min="3" max="3" width="9.33203125" style="8" bestFit="1" customWidth="1"/>
    <col min="4" max="4" width="4.6640625" style="8" customWidth="1"/>
    <col min="5" max="5" width="9.5546875" style="8" bestFit="1" customWidth="1"/>
    <col min="6" max="6" width="9.6640625" style="8" bestFit="1" customWidth="1"/>
    <col min="7" max="7" width="8" style="8" bestFit="1" customWidth="1"/>
    <col min="8" max="8" width="11.109375" style="8" bestFit="1" customWidth="1"/>
    <col min="9" max="10" width="11.109375" style="8" customWidth="1"/>
  </cols>
  <sheetData>
    <row r="1" spans="1:11" s="7" customFormat="1" ht="44.4" customHeight="1" thickBot="1" x14ac:dyDescent="0.3">
      <c r="A1" s="124"/>
      <c r="B1" s="59" t="s">
        <v>134</v>
      </c>
      <c r="C1" s="56" t="s">
        <v>23</v>
      </c>
      <c r="D1" s="21" t="s">
        <v>36</v>
      </c>
      <c r="E1" s="21" t="s">
        <v>63</v>
      </c>
      <c r="F1" s="22" t="s">
        <v>37</v>
      </c>
      <c r="G1" s="23" t="s">
        <v>38</v>
      </c>
      <c r="H1" s="53" t="s">
        <v>165</v>
      </c>
      <c r="I1" s="54" t="s">
        <v>24</v>
      </c>
      <c r="J1" s="54" t="s">
        <v>166</v>
      </c>
    </row>
    <row r="2" spans="1:11" ht="15.6" x14ac:dyDescent="0.25">
      <c r="A2" s="19">
        <v>1</v>
      </c>
      <c r="B2" s="159" t="s">
        <v>230</v>
      </c>
      <c r="C2" s="171" t="s">
        <v>127</v>
      </c>
      <c r="D2" s="87" t="s">
        <v>42</v>
      </c>
      <c r="E2" s="42"/>
      <c r="F2" s="13">
        <f>SUMIF('Résultats Comp Fédérales'!$D:$D,"=FAVREAU Gael",'Résultats Comp Fédérales'!E:E)</f>
        <v>9444</v>
      </c>
      <c r="G2" s="44">
        <f>SUMIF('Résultats Comp Fédérales'!$D:$D,"=FAVREAU Gael",'Résultats Comp Fédérales'!F:F)</f>
        <v>49</v>
      </c>
      <c r="H2" s="185">
        <f t="shared" ref="H2:H32" si="0">F2/G2</f>
        <v>192.73469387755102</v>
      </c>
      <c r="I2" s="55">
        <v>23</v>
      </c>
      <c r="J2" s="126">
        <f t="shared" ref="J2:J32" si="1">H2+I2</f>
        <v>215.73469387755102</v>
      </c>
      <c r="K2" s="78"/>
    </row>
    <row r="3" spans="1:11" ht="15.6" x14ac:dyDescent="0.25">
      <c r="A3" s="123">
        <v>2</v>
      </c>
      <c r="B3" s="60" t="s">
        <v>120</v>
      </c>
      <c r="C3" s="171" t="s">
        <v>169</v>
      </c>
      <c r="D3" s="87" t="s">
        <v>42</v>
      </c>
      <c r="E3" s="42"/>
      <c r="F3" s="13">
        <f>SUMIF('Résultats Comp Fédérales'!$D:$D,"=ROUCHON Xavier",'Résultats Comp Fédérales'!E:E)</f>
        <v>6357</v>
      </c>
      <c r="G3" s="44">
        <f>SUMIF('Résultats Comp Fédérales'!$D:$D,"=ROUCHON Xavier",'Résultats Comp Fédérales'!F:F)</f>
        <v>33</v>
      </c>
      <c r="H3" s="185">
        <f t="shared" si="0"/>
        <v>192.63636363636363</v>
      </c>
      <c r="I3" s="55">
        <v>19</v>
      </c>
      <c r="J3" s="126">
        <f t="shared" si="1"/>
        <v>211.63636363636363</v>
      </c>
      <c r="K3" s="78"/>
    </row>
    <row r="4" spans="1:11" ht="15.6" x14ac:dyDescent="0.25">
      <c r="A4" s="123">
        <v>3</v>
      </c>
      <c r="B4" s="62" t="s">
        <v>122</v>
      </c>
      <c r="C4" s="171" t="s">
        <v>221</v>
      </c>
      <c r="D4" s="87" t="s">
        <v>42</v>
      </c>
      <c r="E4" s="42"/>
      <c r="F4" s="13">
        <f>SUMIF('Résultats Comp Fédérales'!$D:$D,"=LE FILOUS Damien",'Résultats Comp Fédérales'!E:E)</f>
        <v>4719</v>
      </c>
      <c r="G4" s="13">
        <f>SUMIF('Résultats Comp Fédérales'!$D:$D,"=LE FILOUS Damien",'Résultats Comp Fédérales'!F:F)</f>
        <v>25</v>
      </c>
      <c r="H4" s="185">
        <f t="shared" si="0"/>
        <v>188.76</v>
      </c>
      <c r="I4" s="55">
        <v>30</v>
      </c>
      <c r="J4" s="126">
        <f t="shared" si="1"/>
        <v>218.76</v>
      </c>
      <c r="K4" s="78"/>
    </row>
    <row r="5" spans="1:11" ht="15.6" x14ac:dyDescent="0.25">
      <c r="A5" s="123">
        <v>4</v>
      </c>
      <c r="B5" s="60" t="s">
        <v>130</v>
      </c>
      <c r="C5" s="171" t="s">
        <v>169</v>
      </c>
      <c r="D5" s="87" t="s">
        <v>42</v>
      </c>
      <c r="E5" s="43"/>
      <c r="F5" s="13">
        <f>SUMIF('Résultats Comp Fédérales'!$D:$D,"=JOUEN Frédéric",'Résultats Comp Fédérales'!E:E)</f>
        <v>930</v>
      </c>
      <c r="G5" s="85">
        <f>SUMIF('Résultats Comp Fédérales'!$D:$D,"=JOUEN Frédéric",'Résultats Comp Fédérales'!F:F)</f>
        <v>5</v>
      </c>
      <c r="H5" s="185">
        <f t="shared" si="0"/>
        <v>186</v>
      </c>
      <c r="I5" s="55">
        <v>36</v>
      </c>
      <c r="J5" s="126">
        <f t="shared" si="1"/>
        <v>222</v>
      </c>
      <c r="K5" s="78"/>
    </row>
    <row r="6" spans="1:11" ht="15.6" x14ac:dyDescent="0.25">
      <c r="A6" s="123">
        <v>5</v>
      </c>
      <c r="B6" s="60" t="s">
        <v>296</v>
      </c>
      <c r="C6" s="171" t="s">
        <v>167</v>
      </c>
      <c r="D6" s="172" t="s">
        <v>42</v>
      </c>
      <c r="E6" s="182"/>
      <c r="F6" s="13">
        <f>SUMIF('Résultats Comp Fédérales'!$D:$D,"=FARGEIX Christian",'Résultats Comp Fédérales'!E:E)</f>
        <v>8030</v>
      </c>
      <c r="G6" s="44">
        <f>SUMIF('Résultats Comp Fédérales'!$D:$D,"=FARGEIX Christian",'Résultats Comp Fédérales'!F:F)</f>
        <v>45</v>
      </c>
      <c r="H6" s="185">
        <f t="shared" si="0"/>
        <v>178.44444444444446</v>
      </c>
      <c r="I6" s="55">
        <v>27</v>
      </c>
      <c r="J6" s="126">
        <f t="shared" si="1"/>
        <v>205.44444444444446</v>
      </c>
      <c r="K6" s="78"/>
    </row>
    <row r="7" spans="1:11" ht="15.6" x14ac:dyDescent="0.25">
      <c r="A7" s="123">
        <v>6</v>
      </c>
      <c r="B7" s="60" t="s">
        <v>223</v>
      </c>
      <c r="C7" s="171" t="s">
        <v>168</v>
      </c>
      <c r="D7" s="87" t="s">
        <v>42</v>
      </c>
      <c r="E7" s="43"/>
      <c r="F7" s="13">
        <f>SUMIF('Résultats Comp Fédérales'!$D:$D,"=JOUBERT Joel",'Résultats Comp Fédérales'!E:E)</f>
        <v>3642</v>
      </c>
      <c r="G7" s="85">
        <f>SUMIF('Résultats Comp Fédérales'!$D:$D,"=JOUBERT Joel",'Résultats Comp Fédérales'!F:F)</f>
        <v>21</v>
      </c>
      <c r="H7" s="185">
        <f t="shared" si="0"/>
        <v>173.42857142857142</v>
      </c>
      <c r="I7" s="55">
        <v>37</v>
      </c>
      <c r="J7" s="126">
        <f t="shared" si="1"/>
        <v>210.42857142857142</v>
      </c>
      <c r="K7" s="78"/>
    </row>
    <row r="8" spans="1:11" ht="15.6" x14ac:dyDescent="0.25">
      <c r="A8" s="123">
        <v>7</v>
      </c>
      <c r="B8" s="60" t="s">
        <v>121</v>
      </c>
      <c r="C8" s="171" t="s">
        <v>169</v>
      </c>
      <c r="D8" s="87" t="s">
        <v>42</v>
      </c>
      <c r="E8" s="42"/>
      <c r="F8" s="13">
        <f>SUMIF('Résultats Comp Fédérales'!$D:$D,"=CROVATTO Philippe",'Résultats Comp Fédérales'!E:E)</f>
        <v>3241</v>
      </c>
      <c r="G8" s="85">
        <f>SUMIF('Résultats Comp Fédérales'!$D:$D,"=CROVATTO Philippe",'Résultats Comp Fédérales'!F:F)</f>
        <v>19</v>
      </c>
      <c r="H8" s="185">
        <f t="shared" si="0"/>
        <v>170.57894736842104</v>
      </c>
      <c r="I8" s="55">
        <v>35</v>
      </c>
      <c r="J8" s="126">
        <f t="shared" si="1"/>
        <v>205.57894736842104</v>
      </c>
      <c r="K8" s="78"/>
    </row>
    <row r="9" spans="1:11" ht="15.6" x14ac:dyDescent="0.25">
      <c r="A9" s="123">
        <v>8</v>
      </c>
      <c r="B9" s="60" t="s">
        <v>409</v>
      </c>
      <c r="C9" s="171" t="s">
        <v>168</v>
      </c>
      <c r="D9" s="87" t="s">
        <v>42</v>
      </c>
      <c r="E9" s="43"/>
      <c r="F9" s="13">
        <f>SUMIF('Résultats Comp Fédérales'!$D:$D,"=CARRIC Olivier",'Résultats Comp Fédérales'!E:E)</f>
        <v>2045</v>
      </c>
      <c r="G9" s="85">
        <f>SUMIF('Résultats Comp Fédérales'!$D:$D,"=CARRIC Olivier",'Résultats Comp Fédérales'!F:F)</f>
        <v>12</v>
      </c>
      <c r="H9" s="185">
        <f t="shared" si="0"/>
        <v>170.41666666666666</v>
      </c>
      <c r="I9" s="55">
        <v>42</v>
      </c>
      <c r="J9" s="126">
        <f t="shared" si="1"/>
        <v>212.41666666666666</v>
      </c>
      <c r="K9" s="78"/>
    </row>
    <row r="10" spans="1:11" ht="15.6" x14ac:dyDescent="0.25">
      <c r="A10" s="123">
        <v>9</v>
      </c>
      <c r="B10" s="62" t="s">
        <v>114</v>
      </c>
      <c r="C10" s="171" t="s">
        <v>167</v>
      </c>
      <c r="D10" s="87" t="s">
        <v>42</v>
      </c>
      <c r="E10" s="42"/>
      <c r="F10" s="13">
        <f>SUMIF('Résultats Comp Fédérales'!$D:$D,"=DELORT Philippe",'Résultats Comp Fédérales'!E:E)</f>
        <v>7931</v>
      </c>
      <c r="G10" s="44">
        <f>SUMIF('Résultats Comp Fédérales'!$D:$D,"=DELORT Philippe",'Résultats Comp Fédérales'!F:F)</f>
        <v>47</v>
      </c>
      <c r="H10" s="185">
        <f t="shared" si="0"/>
        <v>168.74468085106383</v>
      </c>
      <c r="I10" s="55">
        <v>37</v>
      </c>
      <c r="J10" s="126">
        <f t="shared" si="1"/>
        <v>205.74468085106383</v>
      </c>
      <c r="K10" s="78"/>
    </row>
    <row r="11" spans="1:11" ht="15.6" x14ac:dyDescent="0.25">
      <c r="A11" s="123">
        <v>10</v>
      </c>
      <c r="B11" s="159" t="s">
        <v>226</v>
      </c>
      <c r="C11" s="171" t="s">
        <v>225</v>
      </c>
      <c r="D11" s="87" t="s">
        <v>42</v>
      </c>
      <c r="E11" s="43"/>
      <c r="F11" s="44">
        <f>SUMIF('Résultats Comp Fédérales'!$D:$D,"=BELOT Léopold",'Résultats Comp Fédérales'!E:E)</f>
        <v>2841</v>
      </c>
      <c r="G11" s="85">
        <f>SUMIF('Résultats Comp Fédérales'!$D:$D,"=BELOT Léopold",'Résultats Comp Fédérales'!F:F)</f>
        <v>17</v>
      </c>
      <c r="H11" s="185">
        <f t="shared" si="0"/>
        <v>167.11764705882354</v>
      </c>
      <c r="I11" s="55">
        <v>49</v>
      </c>
      <c r="J11" s="126">
        <f t="shared" si="1"/>
        <v>216.11764705882354</v>
      </c>
      <c r="K11" s="78"/>
    </row>
    <row r="12" spans="1:11" ht="15.6" x14ac:dyDescent="0.25">
      <c r="A12" s="123">
        <v>11</v>
      </c>
      <c r="B12" s="62" t="s">
        <v>118</v>
      </c>
      <c r="C12" s="171" t="s">
        <v>167</v>
      </c>
      <c r="D12" s="87" t="s">
        <v>42</v>
      </c>
      <c r="E12" s="42"/>
      <c r="F12" s="44">
        <f>SUMIF('Résultats Comp Fédérales'!$D:$D,"=BONNET Jean Claude",'Résultats Comp Fédérales'!E:E)</f>
        <v>5726</v>
      </c>
      <c r="G12" s="44">
        <f>SUMIF('Résultats Comp Fédérales'!$D:$D,"=BONNET Jean Claude",'Résultats Comp Fédérales'!F:F)</f>
        <v>35</v>
      </c>
      <c r="H12" s="185">
        <f t="shared" si="0"/>
        <v>163.6</v>
      </c>
      <c r="I12" s="55">
        <v>42</v>
      </c>
      <c r="J12" s="126">
        <f t="shared" si="1"/>
        <v>205.6</v>
      </c>
      <c r="K12" s="78"/>
    </row>
    <row r="13" spans="1:11" ht="15.6" x14ac:dyDescent="0.25">
      <c r="A13" s="123">
        <v>12</v>
      </c>
      <c r="B13" s="61" t="s">
        <v>219</v>
      </c>
      <c r="C13" s="171" t="s">
        <v>168</v>
      </c>
      <c r="D13" s="87" t="s">
        <v>42</v>
      </c>
      <c r="E13" s="43"/>
      <c r="F13" s="13">
        <f>SUMIF('Résultats Comp Fédérales'!$D:$D,"=RITHIE Régis",'Résultats Comp Fédérales'!E:E)</f>
        <v>6160</v>
      </c>
      <c r="G13" s="44">
        <f>SUMIF('Résultats Comp Fédérales'!$D:$D,"=RITHIE Régis",'Résultats Comp Fédérales'!F:F)</f>
        <v>38</v>
      </c>
      <c r="H13" s="185">
        <f t="shared" si="0"/>
        <v>162.10526315789474</v>
      </c>
      <c r="I13" s="55">
        <v>35</v>
      </c>
      <c r="J13" s="126">
        <f t="shared" si="1"/>
        <v>197.10526315789474</v>
      </c>
      <c r="K13" s="78"/>
    </row>
    <row r="14" spans="1:11" ht="15.6" x14ac:dyDescent="0.25">
      <c r="A14" s="123">
        <v>13</v>
      </c>
      <c r="B14" s="60" t="s">
        <v>262</v>
      </c>
      <c r="C14" s="171" t="s">
        <v>169</v>
      </c>
      <c r="D14" s="87" t="s">
        <v>42</v>
      </c>
      <c r="E14" s="43"/>
      <c r="F14" s="13">
        <f>SUMIF('Résultats Comp Fédérales'!$D:$D,"=HUCHET Stéphane",'Résultats Comp Fédérales'!E:E)</f>
        <v>5817</v>
      </c>
      <c r="G14" s="44">
        <f>SUMIF('Résultats Comp Fédérales'!$D:$D,"=HUCHET Stéphane",'Résultats Comp Fédérales'!F:F)</f>
        <v>36</v>
      </c>
      <c r="H14" s="185">
        <f t="shared" si="0"/>
        <v>161.58333333333334</v>
      </c>
      <c r="I14" s="55">
        <v>39</v>
      </c>
      <c r="J14" s="126">
        <f t="shared" si="1"/>
        <v>200.58333333333334</v>
      </c>
      <c r="K14" s="78"/>
    </row>
    <row r="15" spans="1:11" ht="15.6" x14ac:dyDescent="0.25">
      <c r="A15" s="123">
        <v>14</v>
      </c>
      <c r="B15" s="60" t="s">
        <v>269</v>
      </c>
      <c r="C15" s="171" t="s">
        <v>167</v>
      </c>
      <c r="D15" s="87" t="s">
        <v>42</v>
      </c>
      <c r="E15" s="42"/>
      <c r="F15" s="13">
        <f>SUMIF('Résultats Comp Fédérales'!$D:$D,"=FAYEMENDY Michel",'Résultats Comp Fédérales'!E:E)</f>
        <v>5476</v>
      </c>
      <c r="G15" s="44">
        <f>SUMIF('Résultats Comp Fédérales'!$D:$D,"=FAYEMENDY Michel",'Résultats Comp Fédérales'!F:F)</f>
        <v>34</v>
      </c>
      <c r="H15" s="185">
        <f t="shared" si="0"/>
        <v>161.05882352941177</v>
      </c>
      <c r="I15" s="55">
        <v>42</v>
      </c>
      <c r="J15" s="126">
        <f t="shared" si="1"/>
        <v>203.05882352941177</v>
      </c>
      <c r="K15" s="78"/>
    </row>
    <row r="16" spans="1:11" ht="15.6" x14ac:dyDescent="0.25">
      <c r="A16" s="123">
        <v>15</v>
      </c>
      <c r="B16" s="125" t="s">
        <v>411</v>
      </c>
      <c r="C16" s="71" t="s">
        <v>167</v>
      </c>
      <c r="D16" s="86" t="s">
        <v>15</v>
      </c>
      <c r="E16" s="41"/>
      <c r="F16" s="13">
        <f>SUMIF('Résultats Comp Fédérales'!$D:$D,"=NIVET Muriel",'Résultats Comp Fédérales'!E:E)</f>
        <v>3822</v>
      </c>
      <c r="G16" s="44">
        <f>SUMIF('Résultats Comp Fédérales'!$D:$D,"=NIVET Muriel",'Résultats Comp Fédérales'!F:F)</f>
        <v>24</v>
      </c>
      <c r="H16" s="185">
        <f t="shared" si="0"/>
        <v>159.25</v>
      </c>
      <c r="I16" s="55">
        <v>49</v>
      </c>
      <c r="J16" s="126">
        <f t="shared" si="1"/>
        <v>208.25</v>
      </c>
      <c r="K16" s="78"/>
    </row>
    <row r="17" spans="1:11" ht="15.6" x14ac:dyDescent="0.25">
      <c r="A17" s="123">
        <v>16</v>
      </c>
      <c r="B17" s="60" t="s">
        <v>126</v>
      </c>
      <c r="C17" s="171" t="s">
        <v>168</v>
      </c>
      <c r="D17" s="87" t="s">
        <v>42</v>
      </c>
      <c r="E17" s="42"/>
      <c r="F17" s="13">
        <f>SUMIF('Résultats Comp Fédérales'!$D:$D,"=ESNAULT Eric",'Résultats Comp Fédérales'!E:E)</f>
        <v>1254</v>
      </c>
      <c r="G17" s="85">
        <f>SUMIF('Résultats Comp Fédérales'!$D:$D,"=ESNAULT Eric",'Résultats Comp Fédérales'!F:F)</f>
        <v>8</v>
      </c>
      <c r="H17" s="185">
        <f t="shared" si="0"/>
        <v>156.75</v>
      </c>
      <c r="I17" s="55">
        <v>42</v>
      </c>
      <c r="J17" s="126">
        <f t="shared" si="1"/>
        <v>198.75</v>
      </c>
      <c r="K17" s="78"/>
    </row>
    <row r="18" spans="1:11" ht="15.6" x14ac:dyDescent="0.25">
      <c r="A18" s="123">
        <v>17</v>
      </c>
      <c r="B18" s="114" t="s">
        <v>117</v>
      </c>
      <c r="C18" s="171" t="s">
        <v>168</v>
      </c>
      <c r="D18" s="86" t="s">
        <v>15</v>
      </c>
      <c r="E18" s="40"/>
      <c r="F18" s="13">
        <f>SUMIF('Résultats Comp Fédérales'!$D:$D,"=DELORT Valérie",'Résultats Comp Fédérales'!E:E)</f>
        <v>7317</v>
      </c>
      <c r="G18" s="44">
        <f>SUMIF('Résultats Comp Fédérales'!$D:$D,"=DELORT Valérie",'Résultats Comp Fédérales'!F:F)</f>
        <v>47</v>
      </c>
      <c r="H18" s="185">
        <f t="shared" si="0"/>
        <v>155.68085106382978</v>
      </c>
      <c r="I18" s="55">
        <v>46</v>
      </c>
      <c r="J18" s="126">
        <f t="shared" si="1"/>
        <v>201.68085106382978</v>
      </c>
      <c r="K18" s="78"/>
    </row>
    <row r="19" spans="1:11" ht="15.6" x14ac:dyDescent="0.25">
      <c r="A19" s="123">
        <v>18</v>
      </c>
      <c r="B19" s="125" t="s">
        <v>218</v>
      </c>
      <c r="C19" s="171" t="s">
        <v>167</v>
      </c>
      <c r="D19" s="86" t="s">
        <v>15</v>
      </c>
      <c r="E19" s="40"/>
      <c r="F19" s="44">
        <f>SUMIF('Résultats Comp Fédérales'!$D:$D,"=GARCIA Sabine",'Résultats Comp Fédérales'!E:E)</f>
        <v>5995</v>
      </c>
      <c r="G19" s="44">
        <f>SUMIF('Résultats Comp Fédérales'!$D:$D,"=GARCIA Sabine",'Résultats Comp Fédérales'!F:F)</f>
        <v>39</v>
      </c>
      <c r="H19" s="185">
        <f t="shared" si="0"/>
        <v>153.71794871794873</v>
      </c>
      <c r="I19" s="55">
        <v>46</v>
      </c>
      <c r="J19" s="126">
        <f t="shared" si="1"/>
        <v>199.71794871794873</v>
      </c>
      <c r="K19" s="78"/>
    </row>
    <row r="20" spans="1:11" ht="15.6" x14ac:dyDescent="0.25">
      <c r="A20" s="123">
        <v>19</v>
      </c>
      <c r="B20" s="60" t="s">
        <v>124</v>
      </c>
      <c r="C20" s="171" t="s">
        <v>168</v>
      </c>
      <c r="D20" s="87" t="s">
        <v>42</v>
      </c>
      <c r="E20" s="43"/>
      <c r="F20" s="13">
        <f>SUMIF('Résultats Comp Fédérales'!$D:$D,"=BOUZOU Francis",'Résultats Comp Fédérales'!E:E)</f>
        <v>1209</v>
      </c>
      <c r="G20" s="85">
        <f>SUMIF('Résultats Comp Fédérales'!$D:$D,"=BOUZOU Francis",'Résultats Comp Fédérales'!F:F)</f>
        <v>8</v>
      </c>
      <c r="H20" s="185">
        <f t="shared" si="0"/>
        <v>151.125</v>
      </c>
      <c r="I20" s="55">
        <v>42</v>
      </c>
      <c r="J20" s="126">
        <f t="shared" si="1"/>
        <v>193.125</v>
      </c>
      <c r="K20" s="78"/>
    </row>
    <row r="21" spans="1:11" ht="15.6" x14ac:dyDescent="0.25">
      <c r="A21" s="45">
        <v>20</v>
      </c>
      <c r="B21" s="115" t="s">
        <v>297</v>
      </c>
      <c r="C21" s="171" t="s">
        <v>221</v>
      </c>
      <c r="D21" s="180" t="s">
        <v>15</v>
      </c>
      <c r="E21" s="181"/>
      <c r="F21" s="13">
        <f>SUMIF('Résultats Comp Fédérales'!$D:$D,"=FARGEIX Florence",'Résultats Comp Fédérales'!E:E)</f>
        <v>1615</v>
      </c>
      <c r="G21" s="85">
        <f>SUMIF('Résultats Comp Fédérales'!$D:$D,"=FARGEIX Florence",'Résultats Comp Fédérales'!F:F)</f>
        <v>11</v>
      </c>
      <c r="H21" s="185">
        <f t="shared" si="0"/>
        <v>146.81818181818181</v>
      </c>
      <c r="I21" s="55">
        <v>51</v>
      </c>
      <c r="J21" s="126">
        <f t="shared" si="1"/>
        <v>197.81818181818181</v>
      </c>
      <c r="K21" s="78"/>
    </row>
    <row r="22" spans="1:11" ht="15.6" x14ac:dyDescent="0.25">
      <c r="A22" s="123">
        <v>21</v>
      </c>
      <c r="B22" s="60" t="s">
        <v>125</v>
      </c>
      <c r="C22" s="171" t="s">
        <v>167</v>
      </c>
      <c r="D22" s="87" t="s">
        <v>42</v>
      </c>
      <c r="E22" s="43"/>
      <c r="F22" s="13">
        <f>SUMIF('Résultats Comp Fédérales'!$D:$D,"=HERVAULT Daniel",'Résultats Comp Fédérales'!E:E)</f>
        <v>1755</v>
      </c>
      <c r="G22" s="85">
        <f>SUMIF('Résultats Comp Fédérales'!$D:$D,"=HERVAULT Daniel",'Résultats Comp Fédérales'!F:F)</f>
        <v>12</v>
      </c>
      <c r="H22" s="185">
        <f t="shared" si="0"/>
        <v>146.25</v>
      </c>
      <c r="I22" s="55">
        <v>54</v>
      </c>
      <c r="J22" s="126">
        <f t="shared" si="1"/>
        <v>200.25</v>
      </c>
      <c r="K22" s="78"/>
    </row>
    <row r="23" spans="1:11" ht="15.6" x14ac:dyDescent="0.25">
      <c r="A23" s="123">
        <v>22</v>
      </c>
      <c r="B23" s="115" t="s">
        <v>129</v>
      </c>
      <c r="C23" s="171" t="s">
        <v>168</v>
      </c>
      <c r="D23" s="86" t="s">
        <v>15</v>
      </c>
      <c r="E23" s="41"/>
      <c r="F23" s="13">
        <f>SUMIF('Résultats Comp Fédérales'!$D:$D,"=GOUTTORBE Yveline",'Résultats Comp Fédérales'!E:E)</f>
        <v>2152</v>
      </c>
      <c r="G23" s="85">
        <f>SUMIF('Résultats Comp Fédérales'!$D:$D,"=GOUTTORBE Yveline",'Résultats Comp Fédérales'!F:F)</f>
        <v>15</v>
      </c>
      <c r="H23" s="185">
        <f t="shared" si="0"/>
        <v>143.46666666666667</v>
      </c>
      <c r="I23" s="55">
        <v>51</v>
      </c>
      <c r="J23" s="126">
        <f t="shared" si="1"/>
        <v>194.46666666666667</v>
      </c>
      <c r="K23" s="78"/>
    </row>
    <row r="24" spans="1:11" ht="15.6" x14ac:dyDescent="0.25">
      <c r="A24" s="123">
        <v>23</v>
      </c>
      <c r="B24" s="115" t="s">
        <v>268</v>
      </c>
      <c r="C24" s="71" t="s">
        <v>169</v>
      </c>
      <c r="D24" s="86" t="s">
        <v>15</v>
      </c>
      <c r="E24" s="41"/>
      <c r="F24" s="13">
        <f>SUMIF('Résultats Comp Fédérales'!$D:$D,"=MARION Christine",'Résultats Comp Fédérales'!E:E)</f>
        <v>3138</v>
      </c>
      <c r="G24" s="85">
        <f>SUMIF('Résultats Comp Fédérales'!$D:$D,"=MARION Christine",'Résultats Comp Fédérales'!F:F)</f>
        <v>22</v>
      </c>
      <c r="H24" s="185">
        <f t="shared" si="0"/>
        <v>142.63636363636363</v>
      </c>
      <c r="I24" s="55">
        <v>58</v>
      </c>
      <c r="J24" s="126">
        <f t="shared" si="1"/>
        <v>200.63636363636363</v>
      </c>
      <c r="K24" s="78"/>
    </row>
    <row r="25" spans="1:11" ht="15.6" x14ac:dyDescent="0.25">
      <c r="A25" s="123">
        <v>24</v>
      </c>
      <c r="B25" s="61" t="s">
        <v>263</v>
      </c>
      <c r="C25" s="171" t="s">
        <v>167</v>
      </c>
      <c r="D25" s="87" t="s">
        <v>42</v>
      </c>
      <c r="E25" s="43"/>
      <c r="F25" s="13">
        <f>SUMIF('Résultats Comp Fédérales'!$D:$D,"=OLAGNIER Gérard",'Résultats Comp Fédérales'!E:E)</f>
        <v>5086</v>
      </c>
      <c r="G25" s="44">
        <f>SUMIF('Résultats Comp Fédérales'!$D:$D,"=OLAGNIER Gérard",'Résultats Comp Fédérales'!F:F)</f>
        <v>36</v>
      </c>
      <c r="H25" s="185">
        <f t="shared" si="0"/>
        <v>141.27777777777777</v>
      </c>
      <c r="I25" s="55">
        <v>52</v>
      </c>
      <c r="J25" s="126">
        <f t="shared" si="1"/>
        <v>193.27777777777777</v>
      </c>
    </row>
    <row r="26" spans="1:11" ht="15.6" x14ac:dyDescent="0.25">
      <c r="A26" s="123">
        <v>25</v>
      </c>
      <c r="B26" s="125" t="s">
        <v>217</v>
      </c>
      <c r="C26" s="171" t="s">
        <v>221</v>
      </c>
      <c r="D26" s="86" t="s">
        <v>15</v>
      </c>
      <c r="E26" s="41"/>
      <c r="F26" s="13">
        <f>SUMIF('Résultats Comp Fédérales'!$D:$D,"=GATEAU Emma",'Résultats Comp Fédérales'!E:E)</f>
        <v>4010</v>
      </c>
      <c r="G26" s="44">
        <f>SUMIF('Résultats Comp Fédérales'!$D:$D,"=GATEAU Emma",'Résultats Comp Fédérales'!F:F)</f>
        <v>30</v>
      </c>
      <c r="H26" s="185">
        <f t="shared" si="0"/>
        <v>133.66666666666666</v>
      </c>
      <c r="I26" s="55">
        <v>57</v>
      </c>
      <c r="J26" s="126">
        <f t="shared" si="1"/>
        <v>190.66666666666666</v>
      </c>
    </row>
    <row r="27" spans="1:11" ht="15.6" x14ac:dyDescent="0.25">
      <c r="A27" s="123">
        <v>26</v>
      </c>
      <c r="B27" s="159" t="s">
        <v>224</v>
      </c>
      <c r="C27" s="171" t="s">
        <v>432</v>
      </c>
      <c r="D27" s="87" t="s">
        <v>42</v>
      </c>
      <c r="E27" s="42"/>
      <c r="F27" s="13">
        <f>SUMIF('Résultats Comp Fédérales'!$D:$D,"=TERRIEN Yanis",'Résultats Comp Fédérales'!E:E)</f>
        <v>1467</v>
      </c>
      <c r="G27" s="85">
        <f>SUMIF('Résultats Comp Fédérales'!$D:$D,"=TERRIEN Yanis",'Résultats Comp Fédérales'!F:F)</f>
        <v>11</v>
      </c>
      <c r="H27" s="185">
        <f t="shared" si="0"/>
        <v>133.36363636363637</v>
      </c>
      <c r="I27" s="55">
        <v>61</v>
      </c>
      <c r="J27" s="126">
        <f t="shared" si="1"/>
        <v>194.36363636363637</v>
      </c>
    </row>
    <row r="28" spans="1:11" ht="15.6" x14ac:dyDescent="0.25">
      <c r="A28" s="123">
        <v>27</v>
      </c>
      <c r="B28" s="125" t="s">
        <v>179</v>
      </c>
      <c r="C28" s="171" t="s">
        <v>169</v>
      </c>
      <c r="D28" s="86" t="s">
        <v>15</v>
      </c>
      <c r="E28" s="41"/>
      <c r="F28" s="13">
        <f>SUMIF('Résultats Comp Fédérales'!$D:$D,"=CROVATTO Christine",'Résultats Comp Fédérales'!E:E)</f>
        <v>1560</v>
      </c>
      <c r="G28" s="85">
        <f>SUMIF('Résultats Comp Fédérales'!$D:$D,"=CROVATTO Christine",'Résultats Comp Fédérales'!F:F)</f>
        <v>12</v>
      </c>
      <c r="H28" s="185">
        <f t="shared" si="0"/>
        <v>130</v>
      </c>
      <c r="I28" s="55">
        <v>61</v>
      </c>
      <c r="J28" s="126">
        <f t="shared" si="1"/>
        <v>191</v>
      </c>
    </row>
    <row r="29" spans="1:11" ht="15.6" x14ac:dyDescent="0.25">
      <c r="A29" s="123">
        <v>28</v>
      </c>
      <c r="B29" s="208" t="s">
        <v>255</v>
      </c>
      <c r="C29" s="171" t="s">
        <v>225</v>
      </c>
      <c r="D29" s="86" t="s">
        <v>15</v>
      </c>
      <c r="E29" s="41"/>
      <c r="F29" s="13">
        <f>SUMIF('Résultats Comp Fédérales'!$D:$D,"=LECOMTE Coline",'Résultats Comp Fédérales'!E:E)</f>
        <v>780</v>
      </c>
      <c r="G29" s="85">
        <f>SUMIF('Résultats Comp Fédérales'!$D:$D,"=LECOMTE Coline",'Résultats Comp Fédérales'!F:F)</f>
        <v>6</v>
      </c>
      <c r="H29" s="185">
        <f t="shared" si="0"/>
        <v>130</v>
      </c>
      <c r="I29" s="55">
        <v>67</v>
      </c>
      <c r="J29" s="126">
        <f t="shared" si="1"/>
        <v>197</v>
      </c>
    </row>
    <row r="30" spans="1:11" ht="15.6" x14ac:dyDescent="0.25">
      <c r="A30" s="123">
        <v>29</v>
      </c>
      <c r="B30" s="159" t="s">
        <v>622</v>
      </c>
      <c r="C30" s="171" t="s">
        <v>127</v>
      </c>
      <c r="D30" s="172" t="s">
        <v>42</v>
      </c>
      <c r="E30" s="43"/>
      <c r="F30" s="85">
        <f>SUMIF('Résultats Comp Fédérales'!$D:$D,"=Guyot Stéphane",'Résultats Comp Fédérales'!E:E)</f>
        <v>1905</v>
      </c>
      <c r="G30" s="85">
        <f>SUMIF('Résultats Comp Fédérales'!$D:$D,"=Guyot Stéphane",'Résultats Comp Fédérales'!F:F)</f>
        <v>16</v>
      </c>
      <c r="H30" s="185">
        <f t="shared" si="0"/>
        <v>119.0625</v>
      </c>
      <c r="I30" s="55">
        <v>40</v>
      </c>
      <c r="J30" s="126">
        <f t="shared" si="1"/>
        <v>159.0625</v>
      </c>
    </row>
    <row r="31" spans="1:11" ht="15.6" x14ac:dyDescent="0.25">
      <c r="A31" s="123">
        <v>30</v>
      </c>
      <c r="B31" s="159" t="s">
        <v>433</v>
      </c>
      <c r="C31" s="171" t="s">
        <v>434</v>
      </c>
      <c r="D31" s="87" t="s">
        <v>42</v>
      </c>
      <c r="E31" s="42"/>
      <c r="F31" s="13">
        <f>SUMIF('Résultats Comp Fédérales'!$D:$D,"=TERRIEN Blaise",'Résultats Comp Fédérales'!E:E)</f>
        <v>224</v>
      </c>
      <c r="G31" s="85">
        <f>SUMIF('Résultats Comp Fédérales'!$D:$D,"=TERRIEN Blaise",'Résultats Comp Fédérales'!F:F)</f>
        <v>4</v>
      </c>
      <c r="H31" s="185">
        <f t="shared" si="0"/>
        <v>56</v>
      </c>
      <c r="I31" s="55">
        <v>80</v>
      </c>
      <c r="J31" s="126">
        <f t="shared" si="1"/>
        <v>136</v>
      </c>
    </row>
    <row r="32" spans="1:11" ht="15.6" x14ac:dyDescent="0.25">
      <c r="A32" s="123">
        <v>31</v>
      </c>
      <c r="B32" s="159" t="s">
        <v>632</v>
      </c>
      <c r="C32" s="171" t="s">
        <v>633</v>
      </c>
      <c r="D32" s="172" t="s">
        <v>42</v>
      </c>
      <c r="E32" s="173"/>
      <c r="F32" s="13">
        <f>SUMIF('Résultats Comp Fédérales'!$D:$D,"=KUBIAK Charlie",'Résultats Comp Fédérales'!E:E)</f>
        <v>294</v>
      </c>
      <c r="G32" s="85">
        <f>SUMIF('Résultats Comp Fédérales'!$D:$D,"=KUBIAK Charlie",'Résultats Comp Fédérales'!F:F)</f>
        <v>6</v>
      </c>
      <c r="H32" s="185">
        <f t="shared" si="0"/>
        <v>49</v>
      </c>
      <c r="I32" s="55">
        <v>56</v>
      </c>
      <c r="J32" s="126">
        <f t="shared" si="1"/>
        <v>105</v>
      </c>
    </row>
    <row r="33" spans="1:10" ht="15.6" x14ac:dyDescent="0.25">
      <c r="B33" s="159"/>
      <c r="C33" s="171"/>
      <c r="D33" s="87"/>
      <c r="E33" s="42"/>
      <c r="F33" s="13"/>
      <c r="G33" s="44"/>
      <c r="H33" s="185"/>
      <c r="I33" s="55"/>
      <c r="J33" s="126"/>
    </row>
    <row r="34" spans="1:10" ht="15.6" x14ac:dyDescent="0.25">
      <c r="A34" s="123">
        <v>32</v>
      </c>
      <c r="B34" s="60" t="s">
        <v>128</v>
      </c>
      <c r="C34" s="171" t="s">
        <v>167</v>
      </c>
      <c r="D34" s="87" t="s">
        <v>42</v>
      </c>
      <c r="E34" s="43"/>
      <c r="F34" s="13">
        <f>SUMIF('Résultats Comp Fédérales'!$D:$D,"=DURON Eric",'Résultats Comp Fédérales'!E:E)</f>
        <v>0</v>
      </c>
      <c r="G34" s="85">
        <f>SUMIF('Résultats Comp Fédérales'!$D:$D,"=DURON Eric",'Résultats Comp Fédérales'!F:F)</f>
        <v>0</v>
      </c>
      <c r="H34" s="185" t="e">
        <f t="shared" ref="H34:H44" si="2">F34/G34</f>
        <v>#DIV/0!</v>
      </c>
      <c r="I34" s="55">
        <v>51</v>
      </c>
      <c r="J34" s="126" t="e">
        <f t="shared" ref="J34:J44" si="3">H34+I34</f>
        <v>#DIV/0!</v>
      </c>
    </row>
    <row r="35" spans="1:10" ht="15.6" x14ac:dyDescent="0.25">
      <c r="A35" s="123">
        <v>33</v>
      </c>
      <c r="B35" s="60" t="s">
        <v>276</v>
      </c>
      <c r="C35" s="71" t="s">
        <v>168</v>
      </c>
      <c r="D35" s="87" t="s">
        <v>42</v>
      </c>
      <c r="E35" s="43"/>
      <c r="F35" s="13">
        <f>SUMIF('Résultats Comp Fédérales'!$D:$D,"=DUVAL Franck",'Résultats Comp Fédérales'!E:E)</f>
        <v>0</v>
      </c>
      <c r="G35" s="85">
        <f>SUMIF('Résultats Comp Fédérales'!$D:$D,"=DUVAL Franck",'Résultats Comp Fédérales'!F:F)</f>
        <v>0</v>
      </c>
      <c r="H35" s="185" t="e">
        <f t="shared" si="2"/>
        <v>#DIV/0!</v>
      </c>
      <c r="I35" s="55">
        <v>62</v>
      </c>
      <c r="J35" s="400" t="e">
        <f t="shared" si="3"/>
        <v>#DIV/0!</v>
      </c>
    </row>
    <row r="36" spans="1:10" ht="15.6" x14ac:dyDescent="0.25">
      <c r="A36" s="123">
        <v>34</v>
      </c>
      <c r="B36" s="115" t="s">
        <v>645</v>
      </c>
      <c r="C36" s="71" t="s">
        <v>167</v>
      </c>
      <c r="D36" s="86" t="s">
        <v>15</v>
      </c>
      <c r="E36" s="40"/>
      <c r="F36" s="13">
        <f>SUMIF('Résultats Comp Fédérales'!$D:$D,"=ESDOLUC Elisabeth",'Résultats Comp Fédérales'!E:E)</f>
        <v>0</v>
      </c>
      <c r="G36" s="44">
        <f>SUMIF('Résultats Comp Fédérales'!$D:$D,"=ESDOLUC Elisabeth",'Résultats Comp Fédérales'!F:F)</f>
        <v>0</v>
      </c>
      <c r="H36" s="185" t="e">
        <f t="shared" si="2"/>
        <v>#DIV/0!</v>
      </c>
      <c r="I36" s="55">
        <v>28</v>
      </c>
      <c r="J36" s="400" t="e">
        <f t="shared" si="3"/>
        <v>#DIV/0!</v>
      </c>
    </row>
    <row r="37" spans="1:10" ht="15.6" x14ac:dyDescent="0.25">
      <c r="A37" s="123">
        <v>35</v>
      </c>
      <c r="B37" s="115" t="s">
        <v>123</v>
      </c>
      <c r="C37" s="171" t="s">
        <v>167</v>
      </c>
      <c r="D37" s="86" t="s">
        <v>15</v>
      </c>
      <c r="E37" s="41"/>
      <c r="F37" s="13">
        <f>SUMIF('Résultats Comp Fédérales'!$D:$D,"=ESNAULT Michèle",'Résultats Comp Fédérales'!E:E)</f>
        <v>0</v>
      </c>
      <c r="G37" s="44">
        <f>SUMIF('Résultats Comp Fédérales'!$D:$D,"=ESNAULT Michèle",'Résultats Comp Fédérales'!F:F)</f>
        <v>0</v>
      </c>
      <c r="H37" s="185" t="e">
        <f t="shared" si="2"/>
        <v>#DIV/0!</v>
      </c>
      <c r="I37" s="55">
        <v>51</v>
      </c>
      <c r="J37" s="126" t="e">
        <f t="shared" si="3"/>
        <v>#DIV/0!</v>
      </c>
    </row>
    <row r="38" spans="1:10" ht="15.6" x14ac:dyDescent="0.25">
      <c r="A38" s="123">
        <v>36</v>
      </c>
      <c r="B38" s="226" t="s">
        <v>430</v>
      </c>
      <c r="C38" s="171" t="s">
        <v>168</v>
      </c>
      <c r="D38" s="172" t="s">
        <v>42</v>
      </c>
      <c r="E38" s="43"/>
      <c r="F38" s="85">
        <f>SUMIF('Résultats Comp Fédérales'!$D:$D,"=Guyot Jean Michel",'Résultats Comp Fédérales'!E:E)</f>
        <v>0</v>
      </c>
      <c r="G38" s="85">
        <f>SUMIF('Résultats Comp Fédérales'!$D:$D,"=Guyot Jean Michel",'Résultats Comp Fédérales'!F:F)</f>
        <v>0</v>
      </c>
      <c r="H38" s="185" t="e">
        <f t="shared" si="2"/>
        <v>#DIV/0!</v>
      </c>
      <c r="I38" s="55">
        <v>18</v>
      </c>
      <c r="J38" s="126" t="e">
        <f t="shared" si="3"/>
        <v>#DIV/0!</v>
      </c>
    </row>
    <row r="39" spans="1:10" ht="15.6" x14ac:dyDescent="0.25">
      <c r="A39" s="123">
        <v>37</v>
      </c>
      <c r="B39" s="60" t="s">
        <v>131</v>
      </c>
      <c r="C39" s="171" t="s">
        <v>167</v>
      </c>
      <c r="D39" s="87" t="s">
        <v>42</v>
      </c>
      <c r="E39" s="43"/>
      <c r="F39" s="13">
        <f>SUMIF('Résultats Comp Fédérales'!$D:$D,"=JOURNIAC Christian",'Résultats Comp Fédérales'!E:E)</f>
        <v>0</v>
      </c>
      <c r="G39" s="85">
        <f>SUMIF('Résultats Comp Fédérales'!$D:$D,"=JOURNIAC Christian",'Résultats Comp Fédérales'!F:F)</f>
        <v>0</v>
      </c>
      <c r="H39" s="185" t="e">
        <f t="shared" si="2"/>
        <v>#DIV/0!</v>
      </c>
      <c r="I39" s="55">
        <v>44</v>
      </c>
      <c r="J39" s="126" t="e">
        <f t="shared" si="3"/>
        <v>#DIV/0!</v>
      </c>
    </row>
    <row r="40" spans="1:10" ht="15.6" x14ac:dyDescent="0.25">
      <c r="A40" s="123">
        <v>38</v>
      </c>
      <c r="B40" s="60" t="s">
        <v>132</v>
      </c>
      <c r="C40" s="171" t="s">
        <v>168</v>
      </c>
      <c r="D40" s="87" t="s">
        <v>42</v>
      </c>
      <c r="E40" s="42"/>
      <c r="F40" s="13">
        <f>SUMIF('Résultats Comp Fédérales'!$D:$D,"=LE FILOUS Claude",'Résultats Comp Fédérales'!E:E)</f>
        <v>0</v>
      </c>
      <c r="G40" s="85">
        <f>SUMIF('Résultats Comp Fédérales'!$D:$D,"=LE FILOUS Claude",'Résultats Comp Fédérales'!F:F)</f>
        <v>0</v>
      </c>
      <c r="H40" s="185" t="e">
        <f t="shared" si="2"/>
        <v>#DIV/0!</v>
      </c>
      <c r="I40" s="55">
        <v>46</v>
      </c>
      <c r="J40" s="126" t="e">
        <f t="shared" si="3"/>
        <v>#DIV/0!</v>
      </c>
    </row>
    <row r="41" spans="1:10" ht="15.6" x14ac:dyDescent="0.25">
      <c r="A41" s="123">
        <v>39</v>
      </c>
      <c r="B41" s="208" t="s">
        <v>325</v>
      </c>
      <c r="C41" s="171" t="s">
        <v>127</v>
      </c>
      <c r="D41" s="86" t="s">
        <v>15</v>
      </c>
      <c r="E41" s="41"/>
      <c r="F41" s="13">
        <f>SUMIF('Résultats Comp Fédérales'!$D:$D,"=LE FILOUS Julie",'Résultats Comp Fédérales'!E:E)</f>
        <v>0</v>
      </c>
      <c r="G41" s="85">
        <f>SUMIF('Résultats Comp Fédérales'!$D:$D,"=LE FILOUS Julie",'Résultats Comp Fédérales'!F:F)</f>
        <v>0</v>
      </c>
      <c r="H41" s="185" t="e">
        <f t="shared" si="2"/>
        <v>#DIV/0!</v>
      </c>
      <c r="I41" s="55">
        <v>33</v>
      </c>
      <c r="J41" s="126" t="e">
        <f t="shared" si="3"/>
        <v>#DIV/0!</v>
      </c>
    </row>
    <row r="42" spans="1:10" s="84" customFormat="1" ht="15.6" x14ac:dyDescent="0.25">
      <c r="A42" s="123">
        <v>40</v>
      </c>
      <c r="B42" s="60" t="s">
        <v>620</v>
      </c>
      <c r="C42" s="171" t="s">
        <v>221</v>
      </c>
      <c r="D42" s="172" t="s">
        <v>42</v>
      </c>
      <c r="E42" s="43"/>
      <c r="F42" s="85">
        <f>SUMIF('Résultats Comp Fédérales'!$D:$D,"=Morgado Jean Claude",'Résultats Comp Fédérales'!E:E)</f>
        <v>0</v>
      </c>
      <c r="G42" s="85">
        <f>SUMIF('Résultats Comp Fédérales'!$D:$D,"=Morgado Jean Claude",'Résultats Comp Fédérales'!F:F)</f>
        <v>0</v>
      </c>
      <c r="H42" s="185" t="e">
        <f t="shared" si="2"/>
        <v>#DIV/0!</v>
      </c>
      <c r="I42" s="55">
        <v>18</v>
      </c>
      <c r="J42" s="126" t="e">
        <f t="shared" si="3"/>
        <v>#DIV/0!</v>
      </c>
    </row>
    <row r="43" spans="1:10" s="84" customFormat="1" ht="15.6" x14ac:dyDescent="0.25">
      <c r="A43" s="123">
        <v>41</v>
      </c>
      <c r="B43" s="61" t="s">
        <v>410</v>
      </c>
      <c r="C43" s="71" t="s">
        <v>167</v>
      </c>
      <c r="D43" s="87" t="s">
        <v>42</v>
      </c>
      <c r="E43" s="42"/>
      <c r="F43" s="13">
        <f>SUMIF('Résultats Comp Fédérales'!$D:$D,"=NIVET Jean-Pierre",'Résultats Comp Fédérales'!E:E)</f>
        <v>0</v>
      </c>
      <c r="G43" s="44">
        <f>SUMIF('Résultats Comp Fédérales'!$D:$D,"=NIVET Jean-Pierre",'Résultats Comp Fédérales'!F:F)</f>
        <v>0</v>
      </c>
      <c r="H43" s="185" t="e">
        <f t="shared" si="2"/>
        <v>#DIV/0!</v>
      </c>
      <c r="I43" s="55">
        <v>66</v>
      </c>
      <c r="J43" s="126" t="e">
        <f t="shared" si="3"/>
        <v>#DIV/0!</v>
      </c>
    </row>
    <row r="44" spans="1:10" ht="15.6" x14ac:dyDescent="0.25">
      <c r="A44" s="123">
        <v>42</v>
      </c>
      <c r="B44" s="60" t="s">
        <v>267</v>
      </c>
      <c r="C44" s="171" t="s">
        <v>167</v>
      </c>
      <c r="D44" s="87" t="s">
        <v>42</v>
      </c>
      <c r="E44" s="42"/>
      <c r="F44" s="13">
        <f>SUMIF('Résultats Comp Fédérales'!$D:$D,"=SOLARI Joseph",'Résultats Comp Fédérales'!E:E)</f>
        <v>0</v>
      </c>
      <c r="G44" s="85">
        <f>SUMIF('Résultats Comp Fédérales'!$D:$D,"=SOLARI Joseph",'Résultats Comp Fédérales'!F:F)</f>
        <v>0</v>
      </c>
      <c r="H44" s="185" t="e">
        <f t="shared" si="2"/>
        <v>#DIV/0!</v>
      </c>
      <c r="I44" s="55">
        <v>41</v>
      </c>
      <c r="J44" s="126" t="e">
        <f t="shared" si="3"/>
        <v>#DIV/0!</v>
      </c>
    </row>
  </sheetData>
  <autoFilter ref="B1:J7" xr:uid="{00000000-0009-0000-0000-000001000000}">
    <sortState xmlns:xlrd2="http://schemas.microsoft.com/office/spreadsheetml/2017/richdata2" ref="B2:J32">
      <sortCondition descending="1" ref="H1:H7"/>
    </sortState>
  </autoFilter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89" orientation="portrait" r:id="rId1"/>
  <headerFooter alignWithMargins="0">
    <oddHeader>&amp;C&amp;14Classt saison Compet Fédérales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4"/>
  <sheetViews>
    <sheetView tabSelected="1" workbookViewId="0">
      <pane ySplit="1" topLeftCell="A2" activePane="bottomLeft" state="frozenSplit"/>
      <selection pane="bottomLeft" activeCell="M11" sqref="M11"/>
    </sheetView>
  </sheetViews>
  <sheetFormatPr baseColWidth="10" defaultRowHeight="13.2" x14ac:dyDescent="0.25"/>
  <cols>
    <col min="1" max="1" width="3.88671875" style="123" customWidth="1"/>
    <col min="2" max="2" width="28.44140625" style="8" customWidth="1"/>
    <col min="3" max="3" width="9.33203125" style="8" bestFit="1" customWidth="1"/>
    <col min="4" max="4" width="4.6640625" style="8" customWidth="1"/>
    <col min="5" max="5" width="9.5546875" style="8" bestFit="1" customWidth="1"/>
    <col min="6" max="6" width="10" style="8" customWidth="1"/>
    <col min="7" max="7" width="8" style="8" bestFit="1" customWidth="1"/>
    <col min="8" max="8" width="11.109375" style="8" bestFit="1" customWidth="1"/>
    <col min="9" max="10" width="11.109375" style="8" customWidth="1"/>
    <col min="11" max="11" width="12.44140625" style="8" bestFit="1" customWidth="1"/>
    <col min="12" max="12" width="10.5546875" style="9" bestFit="1" customWidth="1"/>
  </cols>
  <sheetData>
    <row r="1" spans="1:13" s="7" customFormat="1" ht="44.4" customHeight="1" thickBot="1" x14ac:dyDescent="0.3">
      <c r="A1" s="124"/>
      <c r="B1" s="59" t="s">
        <v>134</v>
      </c>
      <c r="C1" s="56" t="s">
        <v>23</v>
      </c>
      <c r="D1" s="21" t="s">
        <v>36</v>
      </c>
      <c r="E1" s="21" t="s">
        <v>63</v>
      </c>
      <c r="F1" s="22" t="s">
        <v>37</v>
      </c>
      <c r="G1" s="23" t="s">
        <v>38</v>
      </c>
      <c r="H1" s="53" t="s">
        <v>165</v>
      </c>
      <c r="I1" s="54" t="s">
        <v>24</v>
      </c>
      <c r="J1" s="54" t="s">
        <v>166</v>
      </c>
      <c r="K1" s="22" t="s">
        <v>40</v>
      </c>
      <c r="L1" s="24" t="s">
        <v>41</v>
      </c>
    </row>
    <row r="2" spans="1:13" ht="15.6" x14ac:dyDescent="0.25">
      <c r="A2" s="19">
        <v>1</v>
      </c>
      <c r="B2" s="60" t="s">
        <v>120</v>
      </c>
      <c r="C2" s="171" t="s">
        <v>169</v>
      </c>
      <c r="D2" s="87" t="s">
        <v>42</v>
      </c>
      <c r="E2" s="42"/>
      <c r="F2" s="13">
        <f>SUMIF('Résultats Ligues et Amical'!$D:$D,"=ROUCHON Xavier",'Résultats Ligues et Amical'!E:E)+SUMIF('Résultats Comp Fédérales'!$D:$D,"=ROUCHON Xavier",'Résultats Comp Fédérales'!E:E)</f>
        <v>16154</v>
      </c>
      <c r="G2" s="44">
        <f>SUMIF('Résultats Ligues et Amical'!$D:$D,"=ROUCHON Xavier",'Résultats Ligues et Amical'!F:F)+SUMIF('Résultats Comp Fédérales'!$D:$D,"=ROUCHON Xavier",'Résultats Comp Fédérales'!F:F)</f>
        <v>84</v>
      </c>
      <c r="H2" s="185">
        <f t="shared" ref="H2:H40" si="0">F2/G2</f>
        <v>192.3095238095238</v>
      </c>
      <c r="I2" s="55">
        <v>19</v>
      </c>
      <c r="J2" s="126">
        <f t="shared" ref="J2:J40" si="1">H2+I2</f>
        <v>211.3095238095238</v>
      </c>
      <c r="K2" s="13">
        <f>IF(B2=Bowlings!A$43,SUM(Bowlings!C$43:BN$43),"")</f>
        <v>13</v>
      </c>
      <c r="L2" s="13">
        <f>IF(B2=Bowlings!A$43,Bowlings!B$43,0)</f>
        <v>5</v>
      </c>
      <c r="M2" s="78"/>
    </row>
    <row r="3" spans="1:13" ht="15.6" x14ac:dyDescent="0.25">
      <c r="A3" s="123">
        <v>2</v>
      </c>
      <c r="B3" s="159" t="s">
        <v>230</v>
      </c>
      <c r="C3" s="171" t="s">
        <v>127</v>
      </c>
      <c r="D3" s="87" t="s">
        <v>42</v>
      </c>
      <c r="E3" s="42"/>
      <c r="F3" s="13">
        <f>SUMIF('Résultats Ligues et Amical'!$D:$D,"=FAVREAU Gael",'Résultats Ligues et Amical'!E:E)+SUMIF('Résultats Comp Fédérales'!$D:$D,"=FAVREAU Gael",'Résultats Comp Fédérales'!E:E)</f>
        <v>15250</v>
      </c>
      <c r="G3" s="44">
        <f>SUMIF('Résultats Ligues et Amical'!$D:$D,"=FAVREAU Gael",'Résultats Ligues et Amical'!F:F)+SUMIF('Résultats Comp Fédérales'!$D:$D,"=FAVREAU Gael",'Résultats Comp Fédérales'!F:F)</f>
        <v>81</v>
      </c>
      <c r="H3" s="185">
        <f t="shared" si="0"/>
        <v>188.27160493827159</v>
      </c>
      <c r="I3" s="55">
        <v>23</v>
      </c>
      <c r="J3" s="126">
        <f t="shared" si="1"/>
        <v>211.27160493827159</v>
      </c>
      <c r="K3" s="13">
        <f>IF(B3=Bowlings!A$17,SUM(Bowlings!C$17:BN$17),"")</f>
        <v>9</v>
      </c>
      <c r="L3" s="13">
        <f>IF(B3=Bowlings!A$17,Bowlings!B$17,0)</f>
        <v>5</v>
      </c>
      <c r="M3" s="78"/>
    </row>
    <row r="4" spans="1:13" ht="15.6" x14ac:dyDescent="0.25">
      <c r="A4" s="123">
        <v>3</v>
      </c>
      <c r="B4" s="62" t="s">
        <v>122</v>
      </c>
      <c r="C4" s="171" t="s">
        <v>221</v>
      </c>
      <c r="D4" s="87" t="s">
        <v>42</v>
      </c>
      <c r="E4" s="42"/>
      <c r="F4" s="13">
        <f>SUMIF('Résultats Ligues et Amical'!$D:$D,"=LE FILOUS Damien",'Résultats Ligues et Amical'!E:E)+SUMIF('Résultats Comp Fédérales'!$D:$D,"=LE FILOUS Damien",'Résultats Comp Fédérales'!E:E)</f>
        <v>8856</v>
      </c>
      <c r="G4" s="44">
        <f>SUMIF('Résultats Ligues et Amical'!$D:$D,"=LE FILOUS Damien",'Résultats Ligues et Amical'!F:F)+SUMIF('Résultats Comp Fédérales'!$D:$D,"=LE FILOUS Damien",'Résultats Comp Fédérales'!F:F)</f>
        <v>49</v>
      </c>
      <c r="H4" s="185">
        <f t="shared" si="0"/>
        <v>180.73469387755102</v>
      </c>
      <c r="I4" s="55">
        <v>30</v>
      </c>
      <c r="J4" s="126">
        <f t="shared" si="1"/>
        <v>210.73469387755102</v>
      </c>
      <c r="K4" s="13">
        <f>IF(B4=Bowlings!A$31,SUM(Bowlings!C$31:BN$31),"")</f>
        <v>5</v>
      </c>
      <c r="L4" s="13">
        <f>IF(B4=Bowlings!A$31,Bowlings!B$31,0)</f>
        <v>1</v>
      </c>
      <c r="M4" s="78"/>
    </row>
    <row r="5" spans="1:13" ht="15.6" x14ac:dyDescent="0.25">
      <c r="A5" s="123">
        <v>4</v>
      </c>
      <c r="B5" s="60" t="s">
        <v>296</v>
      </c>
      <c r="C5" s="171" t="s">
        <v>167</v>
      </c>
      <c r="D5" s="172" t="s">
        <v>42</v>
      </c>
      <c r="E5" s="182"/>
      <c r="F5" s="13">
        <f>SUMIF('Résultats Ligues et Amical'!$D:$D,"=FARGEIX Christian",'Résultats Ligues et Amical'!E:E)+SUMIF('Résultats Comp Fédérales'!$D:$D,"=FARGEIX Christian",'Résultats Comp Fédérales'!E:E)</f>
        <v>17697</v>
      </c>
      <c r="G5" s="44">
        <f>SUMIF('Résultats Ligues et Amical'!$D:$D,"=FARGEIX Christian",'Résultats Ligues et Amical'!F:F)+SUMIF('Résultats Comp Fédérales'!$D:$D,"=FARGEIX Christian",'Résultats Comp Fédérales'!F:F)</f>
        <v>99</v>
      </c>
      <c r="H5" s="185">
        <f t="shared" si="0"/>
        <v>178.75757575757575</v>
      </c>
      <c r="I5" s="55">
        <v>27</v>
      </c>
      <c r="J5" s="126">
        <f t="shared" si="1"/>
        <v>205.75757575757575</v>
      </c>
      <c r="K5" s="13">
        <f>IF(B5=Bowlings!A$15,SUM(Bowlings!C$15:BN$15),"")</f>
        <v>11</v>
      </c>
      <c r="L5" s="13">
        <f>IF(B5=Bowlings!A$15,Bowlings!B$15,0)</f>
        <v>5</v>
      </c>
      <c r="M5" s="78"/>
    </row>
    <row r="6" spans="1:13" ht="15.6" x14ac:dyDescent="0.25">
      <c r="A6" s="123">
        <v>5</v>
      </c>
      <c r="B6" s="60" t="s">
        <v>130</v>
      </c>
      <c r="C6" s="171" t="s">
        <v>169</v>
      </c>
      <c r="D6" s="87" t="s">
        <v>42</v>
      </c>
      <c r="E6" s="43"/>
      <c r="F6" s="13">
        <f>SUMIF('Résultats Ligues et Amical'!$D:$D,"=JOUEN Frédéric",'Résultats Ligues et Amical'!E:E)+SUMIF('Résultats Comp Fédérales'!$D:$D,"=JOUEN Frédéric",'Résultats Comp Fédérales'!E:E)</f>
        <v>4296</v>
      </c>
      <c r="G6" s="44">
        <f>SUMIF('Résultats Ligues et Amical'!$D:$D,"=JOUEN Frédéric",'Résultats Ligues et Amical'!F:F)+SUMIF('Résultats Comp Fédérales'!$D:$D,"=JOUEN Frédéric",'Résultats Comp Fédérales'!F:F)</f>
        <v>25</v>
      </c>
      <c r="H6" s="185">
        <f t="shared" si="0"/>
        <v>171.84</v>
      </c>
      <c r="I6" s="55">
        <v>36</v>
      </c>
      <c r="J6" s="126">
        <f t="shared" si="1"/>
        <v>207.84</v>
      </c>
      <c r="K6" s="13">
        <f>IF(B6=Bowlings!A$27,SUM(Bowlings!C$27:BN$27),"")</f>
        <v>3</v>
      </c>
      <c r="L6" s="13">
        <f>IF(B6=Bowlings!A$27,Bowlings!B$27,0)</f>
        <v>2</v>
      </c>
      <c r="M6" s="78"/>
    </row>
    <row r="7" spans="1:13" ht="15.6" x14ac:dyDescent="0.25">
      <c r="A7" s="123">
        <v>6</v>
      </c>
      <c r="B7" s="62" t="s">
        <v>114</v>
      </c>
      <c r="C7" s="171" t="s">
        <v>167</v>
      </c>
      <c r="D7" s="87" t="s">
        <v>42</v>
      </c>
      <c r="E7" s="42"/>
      <c r="F7" s="13">
        <f>SUMIF('Résultats Ligues et Amical'!$D:$D,"=DELORT Philippe",'Résultats Ligues et Amical'!E:E)+SUMIF('Résultats Comp Fédérales'!$D:$D,"=DELORT Philippe",'Résultats Comp Fédérales'!E:E)</f>
        <v>13304</v>
      </c>
      <c r="G7" s="44">
        <f>SUMIF('Résultats Ligues et Amical'!$D:$D,"=DELORT Philippe",'Résultats Ligues et Amical'!F:F)+SUMIF('Résultats Comp Fédérales'!$D:$D,"=DELORT Philippe",'Résultats Comp Fédérales'!F:F)</f>
        <v>79</v>
      </c>
      <c r="H7" s="185">
        <f t="shared" si="0"/>
        <v>168.40506329113924</v>
      </c>
      <c r="I7" s="55">
        <v>37</v>
      </c>
      <c r="J7" s="126">
        <f t="shared" si="1"/>
        <v>205.40506329113924</v>
      </c>
      <c r="K7" s="13">
        <f>IF(B7=Bowlings!A$8,SUM(Bowlings!C$8:BN$8),"")</f>
        <v>8</v>
      </c>
      <c r="L7" s="13">
        <f>IF(B7=Bowlings!A$8,Bowlings!B$8,0)</f>
        <v>3</v>
      </c>
      <c r="M7" s="78"/>
    </row>
    <row r="8" spans="1:13" ht="15.6" x14ac:dyDescent="0.25">
      <c r="A8" s="123">
        <v>7</v>
      </c>
      <c r="B8" s="159" t="s">
        <v>226</v>
      </c>
      <c r="C8" s="171" t="s">
        <v>225</v>
      </c>
      <c r="D8" s="87" t="s">
        <v>42</v>
      </c>
      <c r="E8" s="43"/>
      <c r="F8" s="13">
        <f>SUMIF('Résultats Ligues et Amical'!$D:$D,"=BELOT Léopold",'Résultats Ligues et Amical'!E:E)+SUMIF('Résultats Comp Fédérales'!$D:$D,"=BELOT Léopold",'Résultats Comp Fédérales'!E:E)</f>
        <v>2841</v>
      </c>
      <c r="G8" s="85">
        <f>SUMIF('Résultats Ligues et Amical'!$D:$D,"=BELOT Léopold",'Résultats Ligues et Amical'!F:F)+SUMIF('Résultats Comp Fédérales'!$D:$D,"=BELOT Léopold",'Résultats Comp Fédérales'!F:F)</f>
        <v>17</v>
      </c>
      <c r="H8" s="185">
        <f t="shared" si="0"/>
        <v>167.11764705882354</v>
      </c>
      <c r="I8" s="55">
        <v>49</v>
      </c>
      <c r="J8" s="126">
        <f t="shared" si="1"/>
        <v>216.11764705882354</v>
      </c>
      <c r="K8" s="13">
        <f>IF(B8=Bowlings!A$2,SUM(Bowlings!C$2:BN$2),"")</f>
        <v>3</v>
      </c>
      <c r="L8" s="13">
        <f>IF(B8=Bowlings!A$2,Bowlings!B$2,0)</f>
        <v>2</v>
      </c>
      <c r="M8" s="78"/>
    </row>
    <row r="9" spans="1:13" ht="15.6" x14ac:dyDescent="0.25">
      <c r="A9" s="123">
        <v>8</v>
      </c>
      <c r="B9" s="60" t="s">
        <v>126</v>
      </c>
      <c r="C9" s="171" t="s">
        <v>168</v>
      </c>
      <c r="D9" s="87" t="s">
        <v>42</v>
      </c>
      <c r="E9" s="42"/>
      <c r="F9" s="13">
        <f>SUMIF('Résultats Ligues et Amical'!$D:$D,"=ESNAULT Eric",'Résultats Ligues et Amical'!E:E)+SUMIF('Résultats Comp Fédérales'!$D:$D,"=ESNAULT Eric",'Résultats Comp Fédérales'!E:E)</f>
        <v>3339</v>
      </c>
      <c r="G9" s="85">
        <f>SUMIF('Résultats Ligues et Amical'!$D:$D,"=ESNAULT Eric",'Résultats Ligues et Amical'!F:F)+SUMIF('Résultats Comp Fédérales'!$D:$D,"=ESNAULT Eric",'Résultats Comp Fédérales'!F:F)</f>
        <v>20</v>
      </c>
      <c r="H9" s="185">
        <f t="shared" si="0"/>
        <v>166.95</v>
      </c>
      <c r="I9" s="55">
        <v>42</v>
      </c>
      <c r="J9" s="126">
        <f t="shared" si="1"/>
        <v>208.95</v>
      </c>
      <c r="K9" s="13">
        <f>IF(B9=Bowlings!A$13,SUM(Bowlings!C$13:BN$13),"")</f>
        <v>3</v>
      </c>
      <c r="L9" s="13">
        <f>IF(B9=Bowlings!A$13,Bowlings!B$13,0)</f>
        <v>1</v>
      </c>
      <c r="M9" s="78"/>
    </row>
    <row r="10" spans="1:13" ht="15.6" x14ac:dyDescent="0.25">
      <c r="A10" s="123">
        <v>9</v>
      </c>
      <c r="B10" s="60" t="s">
        <v>409</v>
      </c>
      <c r="C10" s="171" t="s">
        <v>168</v>
      </c>
      <c r="D10" s="87" t="s">
        <v>42</v>
      </c>
      <c r="E10" s="43"/>
      <c r="F10" s="13">
        <f>SUMIF('Résultats Ligues et Amical'!$D:$D,"=CARRIC Olivier",'Résultats Ligues et Amical'!E:E)+SUMIF('Résultats Comp Fédérales'!$D:$D,"=CARRIC Olivier",'Résultats Comp Fédérales'!E:E)</f>
        <v>4000</v>
      </c>
      <c r="G10" s="44">
        <f>SUMIF('Résultats Ligues et Amical'!$D:$D,"=CARRIC Olivier",'Résultats Ligues et Amical'!F:F)+SUMIF('Résultats Comp Fédérales'!$D:$D,"=CARRIC Olivier",'Résultats Comp Fédérales'!F:F)</f>
        <v>24</v>
      </c>
      <c r="H10" s="185">
        <f t="shared" si="0"/>
        <v>166.66666666666666</v>
      </c>
      <c r="I10" s="55">
        <v>42</v>
      </c>
      <c r="J10" s="126">
        <f t="shared" si="1"/>
        <v>208.66666666666666</v>
      </c>
      <c r="K10" s="13">
        <f>IF(B10=Bowlings!A$5,SUM(Bowlings!C$5:BN$5),"")</f>
        <v>4</v>
      </c>
      <c r="L10" s="13">
        <f>IF(B10=Bowlings!A$5,Bowlings!B$5,0)</f>
        <v>1</v>
      </c>
      <c r="M10" s="78"/>
    </row>
    <row r="11" spans="1:13" ht="15.6" x14ac:dyDescent="0.25">
      <c r="A11" s="123">
        <v>10</v>
      </c>
      <c r="B11" s="60" t="s">
        <v>121</v>
      </c>
      <c r="C11" s="171" t="s">
        <v>169</v>
      </c>
      <c r="D11" s="87" t="s">
        <v>42</v>
      </c>
      <c r="E11" s="42"/>
      <c r="F11" s="13">
        <f>SUMIF('Résultats Ligues et Amical'!$D:$D,"=CROVATTO Philippe",'Résultats Ligues et Amical'!E:E)+SUMIF('Résultats Comp Fédérales'!$D:$D,"=CROVATTO Philippe",'Résultats Comp Fédérales'!E:E)</f>
        <v>10488</v>
      </c>
      <c r="G11" s="44">
        <f>SUMIF('Résultats Ligues et Amical'!$D:$D,"=CROVATTO Philippe",'Résultats Ligues et Amical'!F:F)+SUMIF('Résultats Comp Fédérales'!$D:$D,"=CROVATTO Philippe",'Résultats Comp Fédérales'!F:F)</f>
        <v>63</v>
      </c>
      <c r="H11" s="185">
        <f t="shared" si="0"/>
        <v>166.47619047619048</v>
      </c>
      <c r="I11" s="55">
        <v>35</v>
      </c>
      <c r="J11" s="126">
        <f t="shared" si="1"/>
        <v>201.47619047619048</v>
      </c>
      <c r="K11" s="13">
        <f>IF(B11=Bowlings!A$7,SUM(Bowlings!C$7:BN$7),"")</f>
        <v>6</v>
      </c>
      <c r="L11" s="13">
        <f>IF(B11=Bowlings!A$7,Bowlings!B$7,0)</f>
        <v>3</v>
      </c>
      <c r="M11" s="78"/>
    </row>
    <row r="12" spans="1:13" ht="15.6" x14ac:dyDescent="0.25">
      <c r="A12" s="123">
        <v>11</v>
      </c>
      <c r="B12" s="60" t="s">
        <v>223</v>
      </c>
      <c r="C12" s="171" t="s">
        <v>168</v>
      </c>
      <c r="D12" s="87" t="s">
        <v>42</v>
      </c>
      <c r="E12" s="43"/>
      <c r="F12" s="13">
        <f>SUMIF('Résultats Ligues et Amical'!$D:$D,"=JOUBERT Joel",'Résultats Ligues et Amical'!E:E)+SUMIF('Résultats Comp Fédérales'!$D:$D,"=JOUBERT Joel",'Résultats Comp Fédérales'!E:E)</f>
        <v>7483</v>
      </c>
      <c r="G12" s="44">
        <f>SUMIF('Résultats Ligues et Amical'!$D:$D,"=JOUBERT Joel",'Résultats Ligues et Amical'!F:F)+SUMIF('Résultats Comp Fédérales'!$D:$D,"=JOUBERT Joel",'Résultats Comp Fédérales'!F:F)</f>
        <v>45</v>
      </c>
      <c r="H12" s="185">
        <f t="shared" si="0"/>
        <v>166.28888888888889</v>
      </c>
      <c r="I12" s="55">
        <v>37</v>
      </c>
      <c r="J12" s="126">
        <f t="shared" si="1"/>
        <v>203.28888888888889</v>
      </c>
      <c r="K12" s="13">
        <f>IF(B12=Bowlings!A$26,SUM(Bowlings!C$26:BN$26),"")</f>
        <v>6</v>
      </c>
      <c r="L12" s="13">
        <f>IF(B12=Bowlings!A$26,Bowlings!B$26,0)</f>
        <v>2</v>
      </c>
      <c r="M12" s="78"/>
    </row>
    <row r="13" spans="1:13" ht="15.6" x14ac:dyDescent="0.25">
      <c r="A13" s="123">
        <v>12</v>
      </c>
      <c r="B13" s="60" t="s">
        <v>131</v>
      </c>
      <c r="C13" s="171" t="s">
        <v>167</v>
      </c>
      <c r="D13" s="87" t="s">
        <v>42</v>
      </c>
      <c r="E13" s="43"/>
      <c r="F13" s="13">
        <f>SUMIF('Résultats Ligues et Amical'!$D:$D,"=JOURNIAC Christian",'Résultats Ligues et Amical'!E:E)+SUMIF('Résultats Comp Fédérales'!$D:$D,"=JOURNIAC Christian",'Résultats Comp Fédérales'!E:E)</f>
        <v>5370</v>
      </c>
      <c r="G13" s="44">
        <f>SUMIF('Résultats Ligues et Amical'!$D:$D,"=JOURNIAC Christian",'Résultats Ligues et Amical'!F:F)+SUMIF('Résultats Comp Fédérales'!$D:$D,"=JOURNIAC Christian",'Résultats Comp Fédérales'!F:F)</f>
        <v>33</v>
      </c>
      <c r="H13" s="185">
        <f t="shared" si="0"/>
        <v>162.72727272727272</v>
      </c>
      <c r="I13" s="55">
        <v>44</v>
      </c>
      <c r="J13" s="126">
        <f t="shared" si="1"/>
        <v>206.72727272727272</v>
      </c>
      <c r="K13" s="13">
        <f>IF(B13=Bowlings!A$28,SUM(Bowlings!C$28:BN$28),"")</f>
        <v>3</v>
      </c>
      <c r="L13" s="13">
        <f>IF(B13=Bowlings!A$28,Bowlings!B$28,0)</f>
        <v>2</v>
      </c>
      <c r="M13" s="78"/>
    </row>
    <row r="14" spans="1:13" ht="15.6" x14ac:dyDescent="0.25">
      <c r="A14" s="123">
        <v>13</v>
      </c>
      <c r="B14" s="60" t="s">
        <v>262</v>
      </c>
      <c r="C14" s="171" t="s">
        <v>169</v>
      </c>
      <c r="D14" s="87" t="s">
        <v>42</v>
      </c>
      <c r="E14" s="43"/>
      <c r="F14" s="13">
        <f>SUMIF('Résultats Ligues et Amical'!$D:$D,"=HUCHET Stéphane",'Résultats Ligues et Amical'!E:E)+SUMIF('Résultats Comp Fédérales'!$D:$D,"=HUCHET Stéphane",'Résultats Comp Fédérales'!E:E)</f>
        <v>12322</v>
      </c>
      <c r="G14" s="44">
        <f>SUMIF('Résultats Ligues et Amical'!$D:$D,"=HUCHET Stéphane",'Résultats Ligues et Amical'!F:F)+SUMIF('Résultats Comp Fédérales'!$D:$D,"=HUCHET Stéphane",'Résultats Comp Fédérales'!F:F)</f>
        <v>76</v>
      </c>
      <c r="H14" s="185">
        <f t="shared" si="0"/>
        <v>162.13157894736841</v>
      </c>
      <c r="I14" s="55">
        <v>39</v>
      </c>
      <c r="J14" s="126">
        <f t="shared" si="1"/>
        <v>201.13157894736841</v>
      </c>
      <c r="K14" s="13">
        <f>IF(B14=Bowlings!A$25,SUM(Bowlings!C$25:BN$25),"")</f>
        <v>7</v>
      </c>
      <c r="L14" s="13">
        <f>IF(B14=Bowlings!A$25,Bowlings!B$25,0)</f>
        <v>3</v>
      </c>
      <c r="M14" s="78"/>
    </row>
    <row r="15" spans="1:13" ht="15.6" x14ac:dyDescent="0.25">
      <c r="A15" s="123">
        <v>14</v>
      </c>
      <c r="B15" s="60" t="s">
        <v>269</v>
      </c>
      <c r="C15" s="171" t="s">
        <v>167</v>
      </c>
      <c r="D15" s="87" t="s">
        <v>42</v>
      </c>
      <c r="E15" s="42"/>
      <c r="F15" s="13">
        <f>SUMIF('Résultats Ligues et Amical'!$D:$D,"=FAYEMENDY Michel",'Résultats Ligues et Amical'!E:E)+SUMIF('Résultats Comp Fédérales'!$D:$D,"=FAYEMENDY Michel",'Résultats Comp Fédérales'!E:E)</f>
        <v>10797</v>
      </c>
      <c r="G15" s="44">
        <f>SUMIF('Résultats Ligues et Amical'!$D:$D,"=FAYEMENDY Michel",'Résultats Ligues et Amical'!F:F)+SUMIF('Résultats Comp Fédérales'!$D:$D,"=FAYEMENDY Michel",'Résultats Comp Fédérales'!F:F)</f>
        <v>67</v>
      </c>
      <c r="H15" s="185">
        <f t="shared" si="0"/>
        <v>161.14925373134329</v>
      </c>
      <c r="I15" s="55">
        <v>42</v>
      </c>
      <c r="J15" s="126">
        <f t="shared" si="1"/>
        <v>203.14925373134329</v>
      </c>
      <c r="K15" s="13">
        <f>IF(B15=Bowlings!A$18,SUM(Bowlings!C$18:BN$18),"")</f>
        <v>9</v>
      </c>
      <c r="L15" s="13">
        <f>IF(B15=Bowlings!A$18,Bowlings!B$18,0)</f>
        <v>5</v>
      </c>
      <c r="M15" s="78"/>
    </row>
    <row r="16" spans="1:13" ht="15.6" x14ac:dyDescent="0.25">
      <c r="A16" s="123">
        <v>15</v>
      </c>
      <c r="B16" s="61" t="s">
        <v>219</v>
      </c>
      <c r="C16" s="171" t="s">
        <v>168</v>
      </c>
      <c r="D16" s="87" t="s">
        <v>42</v>
      </c>
      <c r="E16" s="43"/>
      <c r="F16" s="13">
        <f>SUMIF('Résultats Ligues et Amical'!$D:$D,"=RITHIE Régis",'Résultats Ligues et Amical'!E:E)+SUMIF('Résultats Comp Fédérales'!$D:$D,"=RITHIE Régis",'Résultats Comp Fédérales'!E:E)</f>
        <v>12281</v>
      </c>
      <c r="G16" s="44">
        <f>SUMIF('Résultats Ligues et Amical'!$D:$D,"=RITHIE Régis",'Résultats Ligues et Amical'!F:F)+SUMIF('Résultats Comp Fédérales'!$D:$D,"=RITHIE Régis",'Résultats Comp Fédérales'!F:F)</f>
        <v>77</v>
      </c>
      <c r="H16" s="185">
        <f t="shared" si="0"/>
        <v>159.49350649350649</v>
      </c>
      <c r="I16" s="55">
        <v>35</v>
      </c>
      <c r="J16" s="126">
        <f t="shared" si="1"/>
        <v>194.49350649350649</v>
      </c>
      <c r="K16" s="13">
        <f>IF(B16=Bowlings!A$42,SUM(Bowlings!C$42:BN$42),"")</f>
        <v>8</v>
      </c>
      <c r="L16" s="13">
        <f>IF(B16=Bowlings!A$42,Bowlings!B$42,0)</f>
        <v>3</v>
      </c>
      <c r="M16" s="78"/>
    </row>
    <row r="17" spans="1:13" ht="15.6" x14ac:dyDescent="0.25">
      <c r="A17" s="123">
        <v>16</v>
      </c>
      <c r="B17" s="60" t="s">
        <v>124</v>
      </c>
      <c r="C17" s="171" t="s">
        <v>168</v>
      </c>
      <c r="D17" s="87" t="s">
        <v>42</v>
      </c>
      <c r="E17" s="43"/>
      <c r="F17" s="13">
        <f>SUMIF('Résultats Ligues et Amical'!$D:$D,"=BOUZOU Francis",'Résultats Ligues et Amical'!E:E)+SUMIF('Résultats Comp Fédérales'!$D:$D,"=BOUZOU Francis",'Résultats Comp Fédérales'!E:E)</f>
        <v>8904</v>
      </c>
      <c r="G17" s="44">
        <f>SUMIF('Résultats Ligues et Amical'!$D:$D,"=BOUZOU Francis",'Résultats Ligues et Amical'!F:F)+SUMIF('Résultats Comp Fédérales'!$D:$D,"=BOUZOU Francis",'Résultats Comp Fédérales'!F:F)</f>
        <v>56</v>
      </c>
      <c r="H17" s="185">
        <f t="shared" si="0"/>
        <v>159</v>
      </c>
      <c r="I17" s="55">
        <v>42</v>
      </c>
      <c r="J17" s="126">
        <f t="shared" si="1"/>
        <v>201</v>
      </c>
      <c r="K17" s="13">
        <f>IF(B17=Bowlings!A$4,SUM(Bowlings!C$4:BN$4),"")</f>
        <v>4</v>
      </c>
      <c r="L17" s="13">
        <f>IF(B17=Bowlings!A$4,Bowlings!B$4,0)</f>
        <v>2</v>
      </c>
      <c r="M17" s="78"/>
    </row>
    <row r="18" spans="1:13" ht="15.6" x14ac:dyDescent="0.25">
      <c r="A18" s="123">
        <v>17</v>
      </c>
      <c r="B18" s="62" t="s">
        <v>118</v>
      </c>
      <c r="C18" s="171" t="s">
        <v>167</v>
      </c>
      <c r="D18" s="87" t="s">
        <v>42</v>
      </c>
      <c r="E18" s="42"/>
      <c r="F18" s="13">
        <f>SUMIF('Résultats Ligues et Amical'!$D:$D,"=BONNET Jean Claude",'Résultats Ligues et Amical'!E:E)+SUMIF('Résultats Comp Fédérales'!$D:$D,"=BONNET Jean Claude",'Résultats Comp Fédérales'!E:E)</f>
        <v>12525</v>
      </c>
      <c r="G18" s="44">
        <f>SUMIF('Résultats Ligues et Amical'!$D:$D,"=BONNET Jean Claude",'Résultats Ligues et Amical'!F:F)+SUMIF('Résultats Comp Fédérales'!$D:$D,"=BONNET Jean Claude",'Résultats Comp Fédérales'!F:F)</f>
        <v>79</v>
      </c>
      <c r="H18" s="185">
        <f t="shared" si="0"/>
        <v>158.54430379746836</v>
      </c>
      <c r="I18" s="55">
        <v>42</v>
      </c>
      <c r="J18" s="126">
        <f t="shared" si="1"/>
        <v>200.54430379746836</v>
      </c>
      <c r="K18" s="44">
        <f>IF(B18=Bowlings!A$3,SUM(Bowlings!C$3:BN$3),"")</f>
        <v>11</v>
      </c>
      <c r="L18" s="44">
        <f>IF(B18=Bowlings!A$3,Bowlings!B$3,0)</f>
        <v>3</v>
      </c>
      <c r="M18" s="78"/>
    </row>
    <row r="19" spans="1:13" ht="15.6" x14ac:dyDescent="0.25">
      <c r="A19" s="123">
        <v>18</v>
      </c>
      <c r="B19" s="114" t="s">
        <v>117</v>
      </c>
      <c r="C19" s="171" t="s">
        <v>168</v>
      </c>
      <c r="D19" s="86" t="s">
        <v>15</v>
      </c>
      <c r="E19" s="40"/>
      <c r="F19" s="13">
        <f>SUMIF('Résultats Ligues et Amical'!$D:$D,"=DELORT Valérie",'Résultats Ligues et Amical'!E:E)+SUMIF('Résultats Comp Fédérales'!$D:$D,"=DELORT Valérie",'Résultats Comp Fédérales'!E:E)</f>
        <v>10411</v>
      </c>
      <c r="G19" s="44">
        <f>SUMIF('Résultats Ligues et Amical'!$D:$D,"=DELORT Valérie",'Résultats Ligues et Amical'!F:F)+SUMIF('Résultats Comp Fédérales'!$D:$D,"=DELORT Valérie",'Résultats Comp Fédérales'!F:F)</f>
        <v>67</v>
      </c>
      <c r="H19" s="185">
        <f t="shared" si="0"/>
        <v>155.38805970149255</v>
      </c>
      <c r="I19" s="55">
        <v>46</v>
      </c>
      <c r="J19" s="126">
        <f t="shared" si="1"/>
        <v>201.38805970149255</v>
      </c>
      <c r="K19" s="13">
        <f>IF(B19=Bowlings!A$9,SUM(Bowlings!C$9:BN$9),"")</f>
        <v>8</v>
      </c>
      <c r="L19" s="13">
        <f>IF(B19=Bowlings!A$9,Bowlings!B$9,0)</f>
        <v>4</v>
      </c>
      <c r="M19" s="78"/>
    </row>
    <row r="20" spans="1:13" ht="15.6" x14ac:dyDescent="0.25">
      <c r="A20" s="123">
        <v>19</v>
      </c>
      <c r="B20" s="60" t="s">
        <v>132</v>
      </c>
      <c r="C20" s="171" t="s">
        <v>168</v>
      </c>
      <c r="D20" s="87" t="s">
        <v>42</v>
      </c>
      <c r="E20" s="42"/>
      <c r="F20" s="13">
        <f>SUMIF('Résultats Ligues et Amical'!$D:$D,"=LE FILOUS Claude",'Résultats Ligues et Amical'!E:E)+SUMIF('Résultats Comp Fédérales'!$D:$D,"=LE FILOUS Claude",'Résultats Comp Fédérales'!E:E)</f>
        <v>3060</v>
      </c>
      <c r="G20" s="85">
        <f>SUMIF('Résultats Ligues et Amical'!$D:$D,"=LE FILOUS Claude",'Résultats Ligues et Amical'!F:F)+SUMIF('Résultats Comp Fédérales'!$D:$D,"=LE FILOUS Claude",'Résultats Comp Fédérales'!F:F)</f>
        <v>20</v>
      </c>
      <c r="H20" s="185">
        <f t="shared" si="0"/>
        <v>153</v>
      </c>
      <c r="I20" s="55">
        <v>46</v>
      </c>
      <c r="J20" s="126">
        <f t="shared" si="1"/>
        <v>199</v>
      </c>
      <c r="K20" s="13">
        <f>IF(B20=Bowlings!A$30,SUM(Bowlings!C$30:BN$30),"")</f>
        <v>2</v>
      </c>
      <c r="L20" s="13">
        <f>IF(B20=Bowlings!A$30,Bowlings!B$30,0)</f>
        <v>1</v>
      </c>
      <c r="M20" s="78"/>
    </row>
    <row r="21" spans="1:13" ht="15.6" x14ac:dyDescent="0.25">
      <c r="A21" s="45">
        <v>20</v>
      </c>
      <c r="B21" s="125" t="s">
        <v>411</v>
      </c>
      <c r="C21" s="71" t="s">
        <v>167</v>
      </c>
      <c r="D21" s="86" t="s">
        <v>15</v>
      </c>
      <c r="E21" s="41"/>
      <c r="F21" s="13">
        <f>SUMIF('Résultats Ligues et Amical'!$D:$D,"=NIVET Muriel",'Résultats Ligues et Amical'!E:E)+SUMIF('Résultats Comp Fédérales'!$D:$D,"=NIVET Muriel",'Résultats Comp Fédérales'!E:E)</f>
        <v>10241</v>
      </c>
      <c r="G21" s="44">
        <f>SUMIF('Résultats Ligues et Amical'!$D:$D,"=NIVET Muriel",'Résultats Ligues et Amical'!F:F)+SUMIF('Résultats Comp Fédérales'!$D:$D,"=NIVET Muriel",'Résultats Comp Fédérales'!F:F)</f>
        <v>68</v>
      </c>
      <c r="H21" s="185">
        <f t="shared" si="0"/>
        <v>150.60294117647058</v>
      </c>
      <c r="I21" s="55">
        <v>49</v>
      </c>
      <c r="J21" s="126">
        <f t="shared" si="1"/>
        <v>199.60294117647058</v>
      </c>
      <c r="K21" s="13">
        <f>IF(B21=Bowlings!A$38,SUM(Bowlings!C$38:BN$38),"")</f>
        <v>6</v>
      </c>
      <c r="L21" s="13">
        <f>IF(B21=Bowlings!A$38,Bowlings!B$38,0)</f>
        <v>2</v>
      </c>
      <c r="M21" s="78"/>
    </row>
    <row r="22" spans="1:13" ht="15.6" x14ac:dyDescent="0.25">
      <c r="A22" s="123">
        <v>21</v>
      </c>
      <c r="B22" s="125" t="s">
        <v>218</v>
      </c>
      <c r="C22" s="171" t="s">
        <v>167</v>
      </c>
      <c r="D22" s="86" t="s">
        <v>15</v>
      </c>
      <c r="E22" s="40"/>
      <c r="F22" s="13">
        <f>SUMIF('Résultats Ligues et Amical'!$D:$D,"=GARCIA Sabine",'Résultats Ligues et Amical'!E:E)+SUMIF('Résultats Comp Fédérales'!$D:$D,"=GARCIA Sabine",'Résultats Comp Fédérales'!E:E)</f>
        <v>15381</v>
      </c>
      <c r="G22" s="44">
        <f>SUMIF('Résultats Ligues et Amical'!$D:$D,"=GARCIA Sabine",'Résultats Ligues et Amical'!F:F)+SUMIF('Résultats Comp Fédérales'!$D:$D,"=GARCIA Sabine",'Résultats Comp Fédérales'!F:F)</f>
        <v>103</v>
      </c>
      <c r="H22" s="185">
        <f t="shared" si="0"/>
        <v>149.33009708737865</v>
      </c>
      <c r="I22" s="55">
        <v>46</v>
      </c>
      <c r="J22" s="126">
        <f t="shared" si="1"/>
        <v>195.33009708737865</v>
      </c>
      <c r="K22" s="13">
        <f>IF(B22=Bowlings!A$19,SUM(Bowlings!C$19:BN$19),"")</f>
        <v>10</v>
      </c>
      <c r="L22" s="13">
        <f>IF(B22=Bowlings!A$19,Bowlings!B$19,0)</f>
        <v>4</v>
      </c>
      <c r="M22" s="78"/>
    </row>
    <row r="23" spans="1:13" ht="15.6" x14ac:dyDescent="0.25">
      <c r="A23" s="123">
        <v>22</v>
      </c>
      <c r="B23" s="60" t="s">
        <v>267</v>
      </c>
      <c r="C23" s="171" t="s">
        <v>167</v>
      </c>
      <c r="D23" s="87" t="s">
        <v>42</v>
      </c>
      <c r="E23" s="42"/>
      <c r="F23" s="13">
        <f>SUMIF('Résultats Ligues et Amical'!$D:$D,"=SOLARI Joseph",'Résultats Ligues et Amical'!E:E)+SUMIF('Résultats Comp Fédérales'!$D:$D,"=SOLARI Joseph",'Résultats Comp Fédérales'!E:E)</f>
        <v>2367</v>
      </c>
      <c r="G23" s="85">
        <f>SUMIF('Résultats Ligues et Amical'!$D:$D,"=SOLARI Joseph",'Résultats Ligues et Amical'!F:F)+SUMIF('Résultats Comp Fédérales'!$D:$D,"=SOLARI Joseph",'Résultats Comp Fédérales'!F:F)</f>
        <v>16</v>
      </c>
      <c r="H23" s="185">
        <f t="shared" si="0"/>
        <v>147.9375</v>
      </c>
      <c r="I23" s="55">
        <v>41</v>
      </c>
      <c r="J23" s="126">
        <f t="shared" si="1"/>
        <v>188.9375</v>
      </c>
      <c r="K23" s="13">
        <f>IF(B23=Bowlings!A$44,SUM(Bowlings!C$44:BN$44),"")</f>
        <v>1</v>
      </c>
      <c r="L23" s="13">
        <f>IF(B23=Bowlings!A$44,Bowlings!B$44,0)</f>
        <v>1</v>
      </c>
      <c r="M23" s="78"/>
    </row>
    <row r="24" spans="1:13" ht="15.6" x14ac:dyDescent="0.25">
      <c r="A24" s="123">
        <v>23</v>
      </c>
      <c r="B24" s="115" t="s">
        <v>129</v>
      </c>
      <c r="C24" s="171" t="s">
        <v>168</v>
      </c>
      <c r="D24" s="86" t="s">
        <v>15</v>
      </c>
      <c r="E24" s="41"/>
      <c r="F24" s="13">
        <f>SUMIF('Résultats Ligues et Amical'!$D:$D,"=GOUTTORBE Yveline",'Résultats Ligues et Amical'!E:E)+SUMIF('Résultats Comp Fédérales'!$D:$D,"=GOUTTORBE Yveline",'Résultats Comp Fédérales'!E:E)</f>
        <v>5148</v>
      </c>
      <c r="G24" s="44">
        <f>SUMIF('Résultats Ligues et Amical'!$D:$D,"=GOUTTORBE Yveline",'Résultats Ligues et Amical'!F:F)+SUMIF('Résultats Comp Fédérales'!$D:$D,"=GOUTTORBE Yveline",'Résultats Comp Fédérales'!F:F)</f>
        <v>35</v>
      </c>
      <c r="H24" s="185">
        <f t="shared" si="0"/>
        <v>147.08571428571429</v>
      </c>
      <c r="I24" s="55">
        <v>51</v>
      </c>
      <c r="J24" s="126">
        <f t="shared" si="1"/>
        <v>198.08571428571429</v>
      </c>
      <c r="K24" s="13">
        <f>IF(B24=Bowlings!A$21,SUM(Bowlings!C$21:BN$21),"")</f>
        <v>4</v>
      </c>
      <c r="L24" s="13">
        <f>IF(B24=Bowlings!A$21,Bowlings!B$21,0)</f>
        <v>2</v>
      </c>
    </row>
    <row r="25" spans="1:13" ht="15.6" x14ac:dyDescent="0.25">
      <c r="A25" s="123">
        <v>24</v>
      </c>
      <c r="B25" s="60" t="s">
        <v>125</v>
      </c>
      <c r="C25" s="171" t="s">
        <v>167</v>
      </c>
      <c r="D25" s="87" t="s">
        <v>42</v>
      </c>
      <c r="E25" s="43"/>
      <c r="F25" s="13">
        <f>SUMIF('Résultats Ligues et Amical'!$D:$D,"=HERVAULT Daniel",'Résultats Ligues et Amical'!E:E)+SUMIF('Résultats Comp Fédérales'!$D:$D,"=HERVAULT Daniel",'Résultats Comp Fédérales'!E:E)</f>
        <v>5827</v>
      </c>
      <c r="G25" s="44">
        <f>SUMIF('Résultats Ligues et Amical'!$D:$D,"=HERVAULT Daniel",'Résultats Ligues et Amical'!F:F)+SUMIF('Résultats Comp Fédérales'!$D:$D,"=HERVAULT Daniel",'Résultats Comp Fédérales'!F:F)</f>
        <v>40</v>
      </c>
      <c r="H25" s="185">
        <f t="shared" si="0"/>
        <v>145.67500000000001</v>
      </c>
      <c r="I25" s="55">
        <v>54</v>
      </c>
      <c r="J25" s="126">
        <f t="shared" si="1"/>
        <v>199.67500000000001</v>
      </c>
      <c r="K25" s="13">
        <f>IF(B25=Bowlings!A$24,SUM(Bowlings!C$24:BN$24),"")</f>
        <v>4</v>
      </c>
      <c r="L25" s="13">
        <f>IF(B25=Bowlings!A$24,Bowlings!B$24,0)</f>
        <v>2</v>
      </c>
    </row>
    <row r="26" spans="1:13" ht="15.6" x14ac:dyDescent="0.25">
      <c r="A26" s="123">
        <v>25</v>
      </c>
      <c r="B26" s="115" t="s">
        <v>297</v>
      </c>
      <c r="C26" s="171" t="s">
        <v>221</v>
      </c>
      <c r="D26" s="180" t="s">
        <v>15</v>
      </c>
      <c r="E26" s="181"/>
      <c r="F26" s="13">
        <f>SUMIF('Résultats Ligues et Amical'!$D:$D,"=FARGEIX Florence",'Résultats Ligues et Amical'!E:E)+SUMIF('Résultats Comp Fédérales'!$D:$D,"=FARGEIX Florence",'Résultats Comp Fédérales'!E:E)</f>
        <v>2761</v>
      </c>
      <c r="G26" s="85">
        <f>SUMIF('Résultats Ligues et Amical'!$D:$D,"=FARGEIX Florence",'Résultats Ligues et Amical'!F:F)+SUMIF('Résultats Comp Fédérales'!$D:$D,"=FARGEIX Florence",'Résultats Comp Fédérales'!F:F)</f>
        <v>19</v>
      </c>
      <c r="H26" s="185">
        <f t="shared" si="0"/>
        <v>145.31578947368422</v>
      </c>
      <c r="I26" s="55">
        <v>51</v>
      </c>
      <c r="J26" s="126">
        <f t="shared" si="1"/>
        <v>196.31578947368422</v>
      </c>
      <c r="K26" s="13">
        <f>IF(B26=Bowlings!A$16,SUM(Bowlings!C$16:BN$16),"")</f>
        <v>3</v>
      </c>
      <c r="L26" s="13">
        <f>IF(B26=Bowlings!A$16,Bowlings!B$16,0)</f>
        <v>2</v>
      </c>
    </row>
    <row r="27" spans="1:13" ht="15.6" x14ac:dyDescent="0.25">
      <c r="A27" s="123">
        <v>26</v>
      </c>
      <c r="B27" s="61" t="s">
        <v>263</v>
      </c>
      <c r="C27" s="171" t="s">
        <v>167</v>
      </c>
      <c r="D27" s="87" t="s">
        <v>42</v>
      </c>
      <c r="E27" s="43"/>
      <c r="F27" s="13">
        <f>SUMIF('Résultats Ligues et Amical'!$D:$D,"=OLAGNIER Gérard",'Résultats Ligues et Amical'!E:E)+SUMIF('Résultats Comp Fédérales'!$D:$D,"=OLAGNIER Gérard",'Résultats Comp Fédérales'!E:E)</f>
        <v>13541</v>
      </c>
      <c r="G27" s="44">
        <f>SUMIF('Résultats Ligues et Amical'!$D:$D,"=OLAGNIER Gérard",'Résultats Ligues et Amical'!F:F)+SUMIF('Résultats Comp Fédérales'!$D:$D,"=OLAGNIER Gérard",'Résultats Comp Fédérales'!F:F)</f>
        <v>96</v>
      </c>
      <c r="H27" s="185">
        <f t="shared" si="0"/>
        <v>141.05208333333334</v>
      </c>
      <c r="I27" s="55">
        <v>52</v>
      </c>
      <c r="J27" s="126">
        <f t="shared" si="1"/>
        <v>193.05208333333334</v>
      </c>
      <c r="K27" s="13">
        <f>IF(B27=Bowlings!A$39,SUM(Bowlings!C$39:BN$39),"")</f>
        <v>11</v>
      </c>
      <c r="L27" s="13">
        <f>IF(B27=Bowlings!A$39,Bowlings!B$39,0)</f>
        <v>4</v>
      </c>
    </row>
    <row r="28" spans="1:13" ht="15.6" x14ac:dyDescent="0.25">
      <c r="A28" s="123">
        <v>27</v>
      </c>
      <c r="B28" s="125" t="s">
        <v>217</v>
      </c>
      <c r="C28" s="171" t="s">
        <v>221</v>
      </c>
      <c r="D28" s="86" t="s">
        <v>15</v>
      </c>
      <c r="E28" s="41"/>
      <c r="F28" s="13">
        <f>SUMIF('Résultats Ligues et Amical'!$D:$D,"=GATEAU Emma",'Résultats Ligues et Amical'!E:E)+SUMIF('Résultats Comp Fédérales'!$D:$D,"=GATEAU Emma",'Résultats Comp Fédérales'!E:E)</f>
        <v>6385</v>
      </c>
      <c r="G28" s="44">
        <f>SUMIF('Résultats Ligues et Amical'!$D:$D,"=GATEAU Emma",'Résultats Ligues et Amical'!F:F)+SUMIF('Résultats Comp Fédérales'!$D:$D,"=GATEAU Emma",'Résultats Comp Fédérales'!F:F)</f>
        <v>46</v>
      </c>
      <c r="H28" s="185">
        <f t="shared" si="0"/>
        <v>138.80434782608697</v>
      </c>
      <c r="I28" s="55">
        <v>57</v>
      </c>
      <c r="J28" s="126">
        <f t="shared" si="1"/>
        <v>195.80434782608697</v>
      </c>
      <c r="K28" s="13">
        <f>IF(B28=Bowlings!A$20,SUM(Bowlings!C$20:BN$20),"")</f>
        <v>6</v>
      </c>
      <c r="L28" s="13">
        <f>IF(B28=Bowlings!A$20,Bowlings!B$20,0)</f>
        <v>3</v>
      </c>
    </row>
    <row r="29" spans="1:13" ht="15.6" x14ac:dyDescent="0.25">
      <c r="A29" s="123">
        <v>28</v>
      </c>
      <c r="B29" s="61" t="s">
        <v>410</v>
      </c>
      <c r="C29" s="71" t="s">
        <v>167</v>
      </c>
      <c r="D29" s="87" t="s">
        <v>42</v>
      </c>
      <c r="E29" s="43"/>
      <c r="F29" s="13">
        <f>SUMIF('Résultats Ligues et Amical'!$D:$D,"=NIVET Jean-Pierre",'Résultats Ligues et Amical'!E:E)+SUMIF('Résultats Comp Fédérales'!$D:$D,"=NIVET Jean-Pierre",'Résultats Comp Fédérales'!E:E)</f>
        <v>6091</v>
      </c>
      <c r="G29" s="44">
        <f>SUMIF('Résultats Ligues et Amical'!$D:$D,"=NIVET Jean-Pierre",'Résultats Ligues et Amical'!F:F)+SUMIF('Résultats Comp Fédérales'!$D:$D,"=NIVET Jean-Pierre",'Résultats Comp Fédérales'!F:F)</f>
        <v>44</v>
      </c>
      <c r="H29" s="185">
        <f t="shared" si="0"/>
        <v>138.43181818181819</v>
      </c>
      <c r="I29" s="55">
        <v>66</v>
      </c>
      <c r="J29" s="126">
        <f t="shared" si="1"/>
        <v>204.43181818181819</v>
      </c>
      <c r="K29" s="13">
        <f>IF(B29=Bowlings!A$37,SUM(Bowlings!C$37:BN$37),"")</f>
        <v>3</v>
      </c>
      <c r="L29" s="13">
        <f>IF(B29=Bowlings!A$37,Bowlings!B$37,0)</f>
        <v>2</v>
      </c>
    </row>
    <row r="30" spans="1:13" ht="15.6" x14ac:dyDescent="0.25">
      <c r="A30" s="123">
        <v>29</v>
      </c>
      <c r="B30" s="115" t="s">
        <v>268</v>
      </c>
      <c r="C30" s="71" t="s">
        <v>169</v>
      </c>
      <c r="D30" s="86" t="s">
        <v>15</v>
      </c>
      <c r="E30" s="41"/>
      <c r="F30" s="13">
        <f>SUMIF('Résultats Ligues et Amical'!$D:$D,"=MARION Christine",'Résultats Ligues et Amical'!E:E)+SUMIF('Résultats Comp Fédérales'!$D:$D,"=MARION Christine",'Résultats Comp Fédérales'!E:E)</f>
        <v>10213</v>
      </c>
      <c r="G30" s="44">
        <f>SUMIF('Résultats Ligues et Amical'!$D:$D,"=MARION Christine",'Résultats Ligues et Amical'!F:F)+SUMIF('Résultats Comp Fédérales'!$D:$D,"=MARION Christine",'Résultats Comp Fédérales'!F:F)</f>
        <v>74</v>
      </c>
      <c r="H30" s="185">
        <f t="shared" si="0"/>
        <v>138.01351351351352</v>
      </c>
      <c r="I30" s="55">
        <v>58</v>
      </c>
      <c r="J30" s="126">
        <f t="shared" si="1"/>
        <v>196.01351351351352</v>
      </c>
      <c r="K30" s="13">
        <f>IF(B30=Bowlings!A$34,SUM(Bowlings!C$34:BN$34),"")</f>
        <v>7</v>
      </c>
      <c r="L30" s="13">
        <f>IF(B30=Bowlings!A$34,Bowlings!B$34,0)</f>
        <v>4</v>
      </c>
    </row>
    <row r="31" spans="1:13" ht="15.6" x14ac:dyDescent="0.25">
      <c r="A31" s="123">
        <v>30</v>
      </c>
      <c r="B31" s="159" t="s">
        <v>224</v>
      </c>
      <c r="C31" s="171" t="s">
        <v>432</v>
      </c>
      <c r="D31" s="87" t="s">
        <v>42</v>
      </c>
      <c r="E31" s="42"/>
      <c r="F31" s="13">
        <f>SUMIF('Résultats Ligues et Amical'!$D:$D,"=TERRIEN Yanis",'Résultats Ligues et Amical'!E:E)+SUMIF('Résultats Comp Fédérales'!$D:$D,"=TERRIEN Yanis",'Résultats Comp Fédérales'!E:E)</f>
        <v>2044</v>
      </c>
      <c r="G31" s="85">
        <f>SUMIF('Résultats Ligues et Amical'!$D:$D,"=TERRIEN Yanis",'Résultats Ligues et Amical'!F:F)+SUMIF('Résultats Comp Fédérales'!$D:$D,"=TERRIEN Yanis",'Résultats Comp Fédérales'!F:F)</f>
        <v>15</v>
      </c>
      <c r="H31" s="185">
        <f t="shared" si="0"/>
        <v>136.26666666666668</v>
      </c>
      <c r="I31" s="55">
        <v>61</v>
      </c>
      <c r="J31" s="126">
        <f t="shared" si="1"/>
        <v>197.26666666666668</v>
      </c>
      <c r="K31" s="13">
        <f>IF(B31=Bowlings!A$46,SUM(Bowlings!C$46:BN$46),"")</f>
        <v>3</v>
      </c>
      <c r="L31" s="13">
        <f>IF(B31=Bowlings!A$46,Bowlings!B$46,0)</f>
        <v>2</v>
      </c>
    </row>
    <row r="32" spans="1:13" ht="15.6" x14ac:dyDescent="0.25">
      <c r="A32" s="123">
        <v>31</v>
      </c>
      <c r="B32" s="115" t="s">
        <v>123</v>
      </c>
      <c r="C32" s="171" t="s">
        <v>167</v>
      </c>
      <c r="D32" s="86" t="s">
        <v>15</v>
      </c>
      <c r="E32" s="41"/>
      <c r="F32" s="13">
        <f>SUMIF('Résultats Ligues et Amical'!$D:$D,"=ESNAULT Michèle",'Résultats Ligues et Amical'!E:E)+SUMIF('Résultats Comp Fédérales'!$D:$D,"=ESNAULT Michèle",'Résultats Comp Fédérales'!E:E)</f>
        <v>5379</v>
      </c>
      <c r="G32" s="44">
        <f>SUMIF('Résultats Ligues et Amical'!$D:$D,"=ESNAULT Michèle",'Résultats Ligues et Amical'!F:F)+SUMIF('Résultats Comp Fédérales'!$D:$D,"=ESNAULT Michèle",'Résultats Comp Fédérales'!F:F)</f>
        <v>40</v>
      </c>
      <c r="H32" s="185">
        <f t="shared" si="0"/>
        <v>134.47499999999999</v>
      </c>
      <c r="I32" s="55">
        <v>51</v>
      </c>
      <c r="J32" s="126">
        <f t="shared" si="1"/>
        <v>185.47499999999999</v>
      </c>
      <c r="K32" s="13">
        <f>IF(B32=Bowlings!A$14,SUM(Bowlings!C$14:BN$14),"")</f>
        <v>3</v>
      </c>
      <c r="L32" s="13">
        <f>IF(B32=Bowlings!A$14,Bowlings!B$14,0)</f>
        <v>2</v>
      </c>
    </row>
    <row r="33" spans="1:12" ht="15.6" x14ac:dyDescent="0.25">
      <c r="A33" s="123">
        <v>32</v>
      </c>
      <c r="B33" s="60" t="s">
        <v>128</v>
      </c>
      <c r="C33" s="171" t="s">
        <v>167</v>
      </c>
      <c r="D33" s="87" t="s">
        <v>42</v>
      </c>
      <c r="E33" s="43"/>
      <c r="F33" s="13">
        <f>SUMIF('Résultats Ligues et Amical'!$D:$D,"=DURON Eric",'Résultats Ligues et Amical'!E:E)+SUMIF('Résultats Comp Fédérales'!$D:$D,"=DURON Eric",'Résultats Comp Fédérales'!E:E)</f>
        <v>1568</v>
      </c>
      <c r="G33" s="85">
        <f>SUMIF('Résultats Ligues et Amical'!$D:$D,"=DURON Eric",'Résultats Ligues et Amical'!F:F)+SUMIF('Résultats Comp Fédérales'!$D:$D,"=DURON Eric",'Résultats Comp Fédérales'!F:F)</f>
        <v>12</v>
      </c>
      <c r="H33" s="185">
        <f t="shared" si="0"/>
        <v>130.66666666666666</v>
      </c>
      <c r="I33" s="55">
        <v>51</v>
      </c>
      <c r="J33" s="126">
        <f t="shared" si="1"/>
        <v>181.66666666666666</v>
      </c>
      <c r="K33" s="13">
        <f>IF(B33=Bowlings!A$10,SUM(Bowlings!C$10:BN$10),"")</f>
        <v>2</v>
      </c>
      <c r="L33" s="13">
        <f>IF(B33=Bowlings!A$10,Bowlings!B$10,0)</f>
        <v>1</v>
      </c>
    </row>
    <row r="34" spans="1:12" ht="15.6" x14ac:dyDescent="0.25">
      <c r="A34" s="123">
        <v>33</v>
      </c>
      <c r="B34" s="208" t="s">
        <v>255</v>
      </c>
      <c r="C34" s="171" t="s">
        <v>225</v>
      </c>
      <c r="D34" s="86" t="s">
        <v>15</v>
      </c>
      <c r="E34" s="41"/>
      <c r="F34" s="13">
        <f>SUMIF('Résultats Ligues et Amical'!$D:$D,"=LECOMTE Coline",'Résultats Ligues et Amical'!E:E)+SUMIF('Résultats Comp Fédérales'!$D:$D,"=LECOMTE Coline",'Résultats Comp Fédérales'!E:E)</f>
        <v>780</v>
      </c>
      <c r="G34" s="85">
        <f>SUMIF('Résultats Ligues et Amical'!$D:$D,"=LECOMTE Coline",'Résultats Ligues et Amical'!F:F)+SUMIF('Résultats Comp Fédérales'!$D:$D,"=LECOMTE Coline",'Résultats Comp Fédérales'!F:F)</f>
        <v>6</v>
      </c>
      <c r="H34" s="185">
        <f t="shared" si="0"/>
        <v>130</v>
      </c>
      <c r="I34" s="55">
        <v>67</v>
      </c>
      <c r="J34" s="126">
        <f t="shared" si="1"/>
        <v>197</v>
      </c>
      <c r="K34" s="13">
        <f>IF(B34=Bowlings!A$33,SUM(Bowlings!C$33:BN$33),"")</f>
        <v>1</v>
      </c>
      <c r="L34" s="13">
        <f>IF(B34=Bowlings!A$33,Bowlings!B$33,0)</f>
        <v>1</v>
      </c>
    </row>
    <row r="35" spans="1:12" ht="15.6" x14ac:dyDescent="0.25">
      <c r="A35" s="123">
        <v>34</v>
      </c>
      <c r="B35" s="60" t="s">
        <v>276</v>
      </c>
      <c r="C35" s="71" t="s">
        <v>168</v>
      </c>
      <c r="D35" s="87" t="s">
        <v>42</v>
      </c>
      <c r="E35" s="43"/>
      <c r="F35" s="13">
        <f>SUMIF('Résultats Ligues et Amical'!$D:$D,"=DUVAL Franck",'Résultats Ligues et Amical'!E:E)+SUMIF('Résultats Comp Fédérales'!$D:$D,"=DUVAL Franck",'Résultats Comp Fédérales'!E:E)</f>
        <v>2061</v>
      </c>
      <c r="G35" s="85">
        <f>SUMIF('Résultats Ligues et Amical'!$D:$D,"=DUVAL Franck",'Résultats Ligues et Amical'!F:F)+SUMIF('Résultats Comp Fédérales'!$D:$D,"=DUVAL Franck",'Résultats Comp Fédérales'!F:F)</f>
        <v>16</v>
      </c>
      <c r="H35" s="185">
        <f t="shared" si="0"/>
        <v>128.8125</v>
      </c>
      <c r="I35" s="55">
        <v>62</v>
      </c>
      <c r="J35" s="126">
        <f t="shared" si="1"/>
        <v>190.8125</v>
      </c>
      <c r="K35" s="13">
        <f>IF(B35=Bowlings!A$11,SUM(Bowlings!C$11:BN$11),"")</f>
        <v>2</v>
      </c>
      <c r="L35" s="13">
        <f>IF(B35=Bowlings!A$11,Bowlings!B$11,0)</f>
        <v>1</v>
      </c>
    </row>
    <row r="36" spans="1:12" ht="15.6" x14ac:dyDescent="0.25">
      <c r="A36" s="123">
        <v>35</v>
      </c>
      <c r="B36" s="125" t="s">
        <v>179</v>
      </c>
      <c r="C36" s="171" t="s">
        <v>169</v>
      </c>
      <c r="D36" s="86" t="s">
        <v>15</v>
      </c>
      <c r="E36" s="41"/>
      <c r="F36" s="13">
        <f>SUMIF('Résultats Ligues et Amical'!$D:$D,"=CROVATTO Christine",'Résultats Ligues et Amical'!E:E)+SUMIF('Résultats Comp Fédérales'!$D:$D,"=CROVATTO Christine",'Résultats Comp Fédérales'!E:E)</f>
        <v>7068</v>
      </c>
      <c r="G36" s="44">
        <f>SUMIF('Résultats Ligues et Amical'!$D:$D,"=CROVATTO Christine",'Résultats Ligues et Amical'!F:F)+SUMIF('Résultats Comp Fédérales'!$D:$D,"=CROVATTO Christine",'Résultats Comp Fédérales'!F:F)</f>
        <v>56</v>
      </c>
      <c r="H36" s="185">
        <f t="shared" si="0"/>
        <v>126.21428571428571</v>
      </c>
      <c r="I36" s="55">
        <v>61</v>
      </c>
      <c r="J36" s="126">
        <f t="shared" si="1"/>
        <v>187.21428571428572</v>
      </c>
      <c r="K36" s="13">
        <f>IF(B36=Bowlings!A$6,SUM(Bowlings!C$6:BN$6),"")</f>
        <v>6</v>
      </c>
      <c r="L36" s="13">
        <f>IF(B36=Bowlings!A$6,Bowlings!B$6,0)</f>
        <v>4</v>
      </c>
    </row>
    <row r="37" spans="1:12" ht="15.6" x14ac:dyDescent="0.25">
      <c r="A37" s="123">
        <v>36</v>
      </c>
      <c r="B37" s="159" t="s">
        <v>622</v>
      </c>
      <c r="C37" s="171" t="s">
        <v>127</v>
      </c>
      <c r="D37" s="172" t="s">
        <v>42</v>
      </c>
      <c r="E37" s="43"/>
      <c r="F37" s="13">
        <f>SUMIF('Résultats Ligues et Amical'!$D:$D,"=Guyot Stéphane",'Résultats Ligues et Amical'!E:E)+SUMIF('Résultats Comp Fédérales'!$D:$D,"=Guyot Stéphane",'Résultats Comp Fédérales'!E:E)</f>
        <v>2372</v>
      </c>
      <c r="G37" s="85">
        <f>SUMIF('Résultats Ligues et Amical'!$D:$D,"=Guyot Stéphane",'Résultats Ligues et Amical'!F:F)+SUMIF('Résultats Comp Fédérales'!$D:$D,"=Guyot Stéphane",'Résultats Comp Fédérales'!F:F)</f>
        <v>20</v>
      </c>
      <c r="H37" s="185">
        <f t="shared" si="0"/>
        <v>118.6</v>
      </c>
      <c r="I37" s="55">
        <v>40</v>
      </c>
      <c r="J37" s="126">
        <f t="shared" si="1"/>
        <v>158.6</v>
      </c>
      <c r="K37" s="13">
        <f>IF(B37=Bowlings!A$23,SUM(Bowlings!C$23:BN$23),"")</f>
        <v>4</v>
      </c>
      <c r="L37" s="13">
        <f>IF(B37=Bowlings!A$23,Bowlings!B$23,0)</f>
        <v>2</v>
      </c>
    </row>
    <row r="38" spans="1:12" ht="15.6" x14ac:dyDescent="0.25">
      <c r="A38" s="123">
        <v>37</v>
      </c>
      <c r="B38" s="115" t="s">
        <v>645</v>
      </c>
      <c r="C38" s="71" t="s">
        <v>167</v>
      </c>
      <c r="D38" s="86" t="s">
        <v>15</v>
      </c>
      <c r="E38" s="40"/>
      <c r="F38" s="13">
        <f>SUMIF('Résultats Ligues et Amical'!$D:$D,"=ESDOLUC Elisabeth",'Résultats Ligues et Amical'!E:E)+SUMIF('Résultats Comp Fédérales'!$D:$D,"=ESDOLUC Elisabeth",'Résultats Comp Fédérales'!E:E)</f>
        <v>898</v>
      </c>
      <c r="G38" s="85">
        <f>SUMIF('Résultats Ligues et Amical'!$D:$D,"=ESDOLUC Elisabeth",'Résultats Ligues et Amical'!F:F)+SUMIF('Résultats Comp Fédérales'!$D:$D,"=ESDOLUC Elisabeth",'Résultats Comp Fédérales'!F:F)</f>
        <v>8</v>
      </c>
      <c r="H38" s="185">
        <f t="shared" si="0"/>
        <v>112.25</v>
      </c>
      <c r="I38" s="55">
        <v>28</v>
      </c>
      <c r="J38" s="126">
        <f t="shared" si="1"/>
        <v>140.25</v>
      </c>
      <c r="K38" s="13">
        <f>IF(B38=Bowlings!A$12,SUM(Bowlings!C$12:BN$12),"")</f>
        <v>2</v>
      </c>
      <c r="L38" s="13">
        <f>IF(B38=Bowlings!A$12,Bowlings!B$12,0)</f>
        <v>1</v>
      </c>
    </row>
    <row r="39" spans="1:12" ht="15.6" x14ac:dyDescent="0.25">
      <c r="A39" s="123">
        <v>38</v>
      </c>
      <c r="B39" s="159" t="s">
        <v>433</v>
      </c>
      <c r="C39" s="171" t="s">
        <v>434</v>
      </c>
      <c r="D39" s="87" t="s">
        <v>42</v>
      </c>
      <c r="E39" s="42"/>
      <c r="F39" s="13">
        <f>SUMIF('Résultats Ligues et Amical'!$D:$D,"=TERRIEN Blaise",'Résultats Ligues et Amical'!E:E)+SUMIF('Résultats Comp Fédérales'!$D:$D,"=TERRIEN Blaise",'Résultats Comp Fédérales'!E:E)</f>
        <v>224</v>
      </c>
      <c r="G39" s="85">
        <f>SUMIF('Résultats Ligues et Amical'!$D:$D,"=TERRIEN Blaise",'Résultats Ligues et Amical'!F:F)+SUMIF('Résultats Comp Fédérales'!$D:$D,"=TERRIEN Blaise",'Résultats Comp Fédérales'!F:F)</f>
        <v>4</v>
      </c>
      <c r="H39" s="185">
        <f t="shared" si="0"/>
        <v>56</v>
      </c>
      <c r="I39" s="55">
        <v>80</v>
      </c>
      <c r="J39" s="126">
        <f t="shared" si="1"/>
        <v>136</v>
      </c>
      <c r="K39" s="13">
        <f>IF(B39=Bowlings!A$45,SUM(Bowlings!C$45:BN$45),"")</f>
        <v>1</v>
      </c>
      <c r="L39" s="13">
        <f>IF(B39=Bowlings!A$45,Bowlings!B$45,0)</f>
        <v>1</v>
      </c>
    </row>
    <row r="40" spans="1:12" ht="15.6" x14ac:dyDescent="0.25">
      <c r="A40" s="123">
        <v>39</v>
      </c>
      <c r="B40" s="159" t="s">
        <v>632</v>
      </c>
      <c r="C40" s="171" t="s">
        <v>633</v>
      </c>
      <c r="D40" s="172" t="s">
        <v>42</v>
      </c>
      <c r="E40" s="173"/>
      <c r="F40" s="13">
        <f>SUMIF('Résultats Ligues et Amical'!$D:$D,"=KUBIAK Charlie",'Résultats Ligues et Amical'!E:E)+SUMIF('Résultats Comp Fédérales'!$D:$D,"=KUBIAK Charlie",'Résultats Comp Fédérales'!E:E)</f>
        <v>294</v>
      </c>
      <c r="G40" s="85">
        <f>SUMIF('Résultats Ligues et Amical'!$D:$D,"=KUBIAK Charlie",'Résultats Ligues et Amical'!F:F)+SUMIF('Résultats Comp Fédérales'!$D:$D,"=KUBIAK Charlie",'Résultats Comp Fédérales'!F:F)</f>
        <v>6</v>
      </c>
      <c r="H40" s="185">
        <f t="shared" si="0"/>
        <v>49</v>
      </c>
      <c r="I40" s="55">
        <v>56</v>
      </c>
      <c r="J40" s="126">
        <f t="shared" si="1"/>
        <v>105</v>
      </c>
      <c r="K40" s="13">
        <f>IF(B40=Bowlings!A$29,SUM(Bowlings!C$29:BN$29),"")</f>
        <v>1</v>
      </c>
      <c r="L40" s="13">
        <f>IF(B40=Bowlings!A$29,Bowlings!B$29,0)</f>
        <v>1</v>
      </c>
    </row>
    <row r="41" spans="1:12" ht="15.6" x14ac:dyDescent="0.25">
      <c r="B41" s="60"/>
      <c r="C41" s="171"/>
      <c r="D41" s="87"/>
      <c r="E41" s="42"/>
      <c r="F41" s="13"/>
      <c r="G41" s="44"/>
      <c r="H41" s="185"/>
      <c r="I41" s="55"/>
      <c r="J41" s="126"/>
      <c r="K41" s="13"/>
      <c r="L41" s="13"/>
    </row>
    <row r="42" spans="1:12" ht="15.6" x14ac:dyDescent="0.25">
      <c r="A42" s="123">
        <v>40</v>
      </c>
      <c r="B42" s="226" t="s">
        <v>430</v>
      </c>
      <c r="C42" s="171" t="s">
        <v>168</v>
      </c>
      <c r="D42" s="172" t="s">
        <v>42</v>
      </c>
      <c r="E42" s="43"/>
      <c r="F42" s="13">
        <f>SUMIF('Résultats Ligues et Amical'!$D:$D,"=Guyot Jean Michel",'Résultats Ligues et Amical'!E:E)+SUMIF('Résultats Comp Fédérales'!$D:$D,"=Guyot Jean Michel",'Résultats Comp Fédérales'!E:E)</f>
        <v>0</v>
      </c>
      <c r="G42" s="13">
        <f>SUMIF('Résultats Ligues et Amical'!$D:$D,"=Guyot Jean Michel",'Résultats Ligues et Amical'!F:F)+SUMIF('Résultats Comp Fédérales'!$D:$D,"=Guyot Jean Michel",'Résultats Comp Fédérales'!F:F)</f>
        <v>0</v>
      </c>
      <c r="H42" s="185" t="e">
        <f>F42/G42</f>
        <v>#DIV/0!</v>
      </c>
      <c r="I42" s="55">
        <v>18</v>
      </c>
      <c r="J42" s="126" t="e">
        <f>H42+I42</f>
        <v>#DIV/0!</v>
      </c>
      <c r="K42" s="13">
        <f>IF(B42=Bowlings!A$22,SUM(Bowlings!C$22:BN$22),"")</f>
        <v>0</v>
      </c>
      <c r="L42" s="13">
        <f>IF(B42=Bowlings!A$22,Bowlings!B$22,0)</f>
        <v>0</v>
      </c>
    </row>
    <row r="43" spans="1:12" ht="15.6" x14ac:dyDescent="0.25">
      <c r="A43" s="123">
        <v>41</v>
      </c>
      <c r="B43" s="208" t="s">
        <v>325</v>
      </c>
      <c r="C43" s="171" t="s">
        <v>127</v>
      </c>
      <c r="D43" s="86" t="s">
        <v>15</v>
      </c>
      <c r="E43" s="41"/>
      <c r="F43" s="13">
        <f>SUMIF('Résultats Ligues et Amical'!$D:$D,"=LE FILOUS Julie",'Résultats Ligues et Amical'!E:E)+SUMIF('Résultats Comp Fédérales'!$D:$D,"=LE FILOUS Julie",'Résultats Comp Fédérales'!E:E)</f>
        <v>0</v>
      </c>
      <c r="G43" s="13">
        <f>SUMIF('Résultats Ligues et Amical'!$D:$D,"=LE FILOUS Julie",'Résultats Ligues et Amical'!F:F)+SUMIF('Résultats Comp Fédérales'!$D:$D,"=LE FILOUS Julie",'Résultats Comp Fédérales'!F:F)</f>
        <v>0</v>
      </c>
      <c r="H43" s="185" t="e">
        <f>F43/G43</f>
        <v>#DIV/0!</v>
      </c>
      <c r="I43" s="55">
        <v>33</v>
      </c>
      <c r="J43" s="126" t="e">
        <f>H43+I43</f>
        <v>#DIV/0!</v>
      </c>
      <c r="K43" s="13">
        <f>IF(B43=Bowlings!A$32,SUM(Bowlings!C$32:BN$32),"")</f>
        <v>0</v>
      </c>
      <c r="L43" s="13">
        <f>IF(B43=Bowlings!A$32,Bowlings!B$32,0)</f>
        <v>0</v>
      </c>
    </row>
    <row r="44" spans="1:12" ht="15.6" x14ac:dyDescent="0.25">
      <c r="A44" s="123">
        <v>42</v>
      </c>
      <c r="B44" s="60" t="s">
        <v>620</v>
      </c>
      <c r="C44" s="171" t="s">
        <v>221</v>
      </c>
      <c r="D44" s="172" t="s">
        <v>42</v>
      </c>
      <c r="E44" s="43"/>
      <c r="F44" s="13">
        <f>SUMIF('Résultats Ligues et Amical'!$D:$D,"=Morgado Jean Claude",'Résultats Ligues et Amical'!E:E)+SUMIF('Résultats Comp Fédérales'!$D:$D,"=Morgado Jean Claude",'Résultats Comp Fédérales'!E:E)</f>
        <v>0</v>
      </c>
      <c r="G44" s="13">
        <f>SUMIF('Résultats Ligues et Amical'!$D:$D,"=Morgado Jean Claude",'Résultats Ligues et Amical'!F:F)+SUMIF('Résultats Comp Fédérales'!$D:$D,"=Morgado Jean Claude",'Résultats Comp Fédérales'!F:F)</f>
        <v>0</v>
      </c>
      <c r="H44" s="185" t="e">
        <f>F44/G44</f>
        <v>#DIV/0!</v>
      </c>
      <c r="I44" s="55">
        <v>18</v>
      </c>
      <c r="J44" s="126" t="e">
        <f>H44+I44</f>
        <v>#DIV/0!</v>
      </c>
      <c r="K44" s="13">
        <f>IF(B44=Bowlings!A$35,SUM(Bowlings!C$35:BN$35),"")</f>
        <v>0</v>
      </c>
      <c r="L44" s="13">
        <f>IF(B44=Bowlings!A$35,Bowlings!B$35,0)</f>
        <v>0</v>
      </c>
    </row>
  </sheetData>
  <autoFilter ref="B1:L7" xr:uid="{00000000-0009-0000-0000-000001000000}">
    <sortState xmlns:xlrd2="http://schemas.microsoft.com/office/spreadsheetml/2017/richdata2" ref="B2:L40">
      <sortCondition descending="1" ref="H1:H7"/>
    </sortState>
  </autoFilter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80" orientation="portrait" r:id="rId1"/>
  <headerFooter alignWithMargins="0">
    <oddHeader>&amp;C&amp;14Classement saison T.C.C.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46"/>
  <sheetViews>
    <sheetView topLeftCell="A95" workbookViewId="0">
      <selection activeCell="D116" sqref="D116"/>
    </sheetView>
  </sheetViews>
  <sheetFormatPr baseColWidth="10" defaultRowHeight="13.2" x14ac:dyDescent="0.25"/>
  <cols>
    <col min="2" max="2" width="42.6640625" customWidth="1"/>
    <col min="4" max="4" width="26.5546875" customWidth="1"/>
    <col min="5" max="6" width="10.33203125" style="8" customWidth="1"/>
    <col min="7" max="7" width="14.5546875" style="9" customWidth="1"/>
    <col min="8" max="8" width="13.5546875" style="8" customWidth="1"/>
    <col min="9" max="9" width="11.5546875" style="123"/>
  </cols>
  <sheetData>
    <row r="1" spans="1:8" ht="21.75" customHeight="1" thickBot="1" x14ac:dyDescent="0.3">
      <c r="A1" s="38" t="s">
        <v>0</v>
      </c>
      <c r="B1" s="1" t="s">
        <v>25</v>
      </c>
      <c r="C1" s="16" t="s">
        <v>26</v>
      </c>
      <c r="D1" s="1" t="s">
        <v>27</v>
      </c>
      <c r="E1" s="1" t="s">
        <v>28</v>
      </c>
      <c r="F1" s="1" t="s">
        <v>29</v>
      </c>
      <c r="G1" s="2" t="s">
        <v>30</v>
      </c>
      <c r="H1" s="1" t="s">
        <v>31</v>
      </c>
    </row>
    <row r="2" spans="1:8" ht="13.5" customHeight="1" x14ac:dyDescent="0.25">
      <c r="A2" s="79">
        <v>45976</v>
      </c>
      <c r="B2" s="75" t="s">
        <v>664</v>
      </c>
      <c r="C2" s="19" t="s">
        <v>108</v>
      </c>
      <c r="D2" s="30" t="s">
        <v>122</v>
      </c>
      <c r="E2" s="45">
        <f>'Résultats Comp Fédérales'!E118</f>
        <v>1823</v>
      </c>
      <c r="F2" s="45">
        <f>'Résultats Comp Fédérales'!F118</f>
        <v>9</v>
      </c>
      <c r="G2" s="88">
        <f>E2/F2</f>
        <v>202.55555555555554</v>
      </c>
      <c r="H2" s="45" t="str">
        <f>'Résultats Comp Fédérales'!H120</f>
        <v>équipe 10e</v>
      </c>
    </row>
    <row r="3" spans="1:8" ht="13.5" customHeight="1" x14ac:dyDescent="0.25">
      <c r="A3" s="79">
        <v>45977</v>
      </c>
      <c r="B3" s="75" t="s">
        <v>107</v>
      </c>
      <c r="C3" s="3"/>
      <c r="D3" s="15" t="s">
        <v>120</v>
      </c>
      <c r="E3" s="45">
        <f>'Résultats Comp Fédérales'!E119</f>
        <v>1628</v>
      </c>
      <c r="F3" s="45">
        <f>'Résultats Comp Fédérales'!F119</f>
        <v>9</v>
      </c>
      <c r="G3" s="88">
        <f>E3/F3</f>
        <v>180.88888888888889</v>
      </c>
      <c r="H3" s="45"/>
    </row>
    <row r="4" spans="1:8" ht="13.5" customHeight="1" x14ac:dyDescent="0.25">
      <c r="A4" s="79" t="s">
        <v>228</v>
      </c>
      <c r="B4" s="19" t="s">
        <v>315</v>
      </c>
      <c r="C4" s="3"/>
      <c r="D4" s="15" t="s">
        <v>328</v>
      </c>
      <c r="E4" s="45">
        <f>'Résultats Comp Fédérales'!E120</f>
        <v>1405</v>
      </c>
      <c r="F4" s="45">
        <f>'Résultats Comp Fédérales'!F120</f>
        <v>8</v>
      </c>
      <c r="G4" s="88">
        <f t="shared" ref="G4:G87" si="0">E4/F4</f>
        <v>175.625</v>
      </c>
      <c r="H4" s="45"/>
    </row>
    <row r="5" spans="1:8" ht="13.5" customHeight="1" x14ac:dyDescent="0.25">
      <c r="A5" s="79" t="s">
        <v>337</v>
      </c>
      <c r="B5" s="19"/>
      <c r="C5" s="3"/>
      <c r="D5" s="15" t="s">
        <v>219</v>
      </c>
      <c r="E5" s="45">
        <f>'Résultats Comp Fédérales'!E121</f>
        <v>1203</v>
      </c>
      <c r="F5" s="45">
        <f>'Résultats Comp Fédérales'!F121</f>
        <v>8</v>
      </c>
      <c r="G5" s="88">
        <f>E5/F5</f>
        <v>150.375</v>
      </c>
      <c r="H5" s="45"/>
    </row>
    <row r="6" spans="1:8" ht="13.5" customHeight="1" x14ac:dyDescent="0.25">
      <c r="A6" s="79" t="s">
        <v>227</v>
      </c>
      <c r="B6" s="17"/>
      <c r="C6" s="3"/>
      <c r="D6" s="30" t="s">
        <v>114</v>
      </c>
      <c r="E6" s="45">
        <f>'Résultats Comp Fédérales'!E122</f>
        <v>1037</v>
      </c>
      <c r="F6" s="45">
        <f>'Résultats Comp Fédérales'!F122</f>
        <v>7</v>
      </c>
      <c r="G6" s="88">
        <f t="shared" ref="G6" si="1">E6/F6</f>
        <v>148.14285714285714</v>
      </c>
      <c r="H6" s="45"/>
    </row>
    <row r="7" spans="1:8" ht="13.5" customHeight="1" x14ac:dyDescent="0.25">
      <c r="A7" s="157"/>
      <c r="B7" s="36"/>
      <c r="C7" s="31"/>
      <c r="D7" s="161" t="s">
        <v>416</v>
      </c>
      <c r="E7" s="90">
        <f>'Résultats Comp Fédérales'!E123</f>
        <v>723</v>
      </c>
      <c r="F7" s="90">
        <f>'Résultats Comp Fédérales'!F123</f>
        <v>4</v>
      </c>
      <c r="G7" s="89">
        <f t="shared" ref="G7" si="2">E7/F7</f>
        <v>180.75</v>
      </c>
      <c r="H7" s="90"/>
    </row>
    <row r="8" spans="1:8" ht="13.5" customHeight="1" x14ac:dyDescent="0.25">
      <c r="A8" s="79">
        <v>45976</v>
      </c>
      <c r="B8" s="75" t="s">
        <v>332</v>
      </c>
      <c r="C8" s="19" t="s">
        <v>108</v>
      </c>
      <c r="D8" s="110" t="s">
        <v>230</v>
      </c>
      <c r="E8" s="45">
        <f>'Résultats Comp Fédérales'!E125</f>
        <v>946</v>
      </c>
      <c r="F8" s="45">
        <f>'Résultats Comp Fédérales'!F125</f>
        <v>5</v>
      </c>
      <c r="G8" s="88">
        <f>E8/F8</f>
        <v>189.2</v>
      </c>
      <c r="H8" s="45" t="str">
        <f>'Résultats Comp Fédérales'!H127</f>
        <v>équipe 5e</v>
      </c>
    </row>
    <row r="9" spans="1:8" ht="13.5" customHeight="1" x14ac:dyDescent="0.25">
      <c r="A9" s="79" t="s">
        <v>228</v>
      </c>
      <c r="B9" s="75" t="s">
        <v>107</v>
      </c>
      <c r="C9" s="3"/>
      <c r="D9" s="29" t="s">
        <v>130</v>
      </c>
      <c r="E9" s="45">
        <f>'Résultats Comp Fédérales'!E126</f>
        <v>930</v>
      </c>
      <c r="F9" s="45">
        <f>'Résultats Comp Fédérales'!F126</f>
        <v>5</v>
      </c>
      <c r="G9" s="88">
        <f t="shared" ref="G9" si="3">E9/F9</f>
        <v>186</v>
      </c>
    </row>
    <row r="10" spans="1:8" ht="13.5" customHeight="1" x14ac:dyDescent="0.25">
      <c r="A10" s="129"/>
      <c r="B10" s="19" t="s">
        <v>281</v>
      </c>
      <c r="C10" s="3"/>
      <c r="D10" s="29" t="s">
        <v>223</v>
      </c>
      <c r="E10" s="45">
        <f>'Résultats Comp Fédérales'!E127</f>
        <v>861</v>
      </c>
      <c r="F10" s="45">
        <f>'Résultats Comp Fédérales'!F127</f>
        <v>5</v>
      </c>
      <c r="G10" s="88">
        <f t="shared" ref="G10:G13" si="4">E10/F10</f>
        <v>172.2</v>
      </c>
      <c r="H10" s="45"/>
    </row>
    <row r="11" spans="1:8" ht="13.5" customHeight="1" x14ac:dyDescent="0.25">
      <c r="A11" s="129"/>
      <c r="B11" s="17"/>
      <c r="C11" s="3"/>
      <c r="D11" s="30" t="s">
        <v>262</v>
      </c>
      <c r="E11" s="45">
        <f>'Résultats Comp Fédérales'!E128</f>
        <v>584</v>
      </c>
      <c r="F11" s="45">
        <f>'Résultats Comp Fédérales'!F128</f>
        <v>4</v>
      </c>
      <c r="G11" s="88">
        <f t="shared" si="4"/>
        <v>146</v>
      </c>
      <c r="H11" s="45"/>
    </row>
    <row r="12" spans="1:8" ht="13.5" customHeight="1" x14ac:dyDescent="0.25">
      <c r="A12" s="129"/>
      <c r="B12" s="17"/>
      <c r="C12" s="3"/>
      <c r="D12" s="15" t="s">
        <v>121</v>
      </c>
      <c r="E12" s="45">
        <f>'Résultats Comp Fédérales'!E129</f>
        <v>458</v>
      </c>
      <c r="F12" s="45">
        <f>'Résultats Comp Fédérales'!F129</f>
        <v>3</v>
      </c>
      <c r="G12" s="88">
        <f>E12/F12</f>
        <v>152.66666666666666</v>
      </c>
      <c r="H12" s="45"/>
    </row>
    <row r="13" spans="1:8" ht="13.5" customHeight="1" x14ac:dyDescent="0.25">
      <c r="A13" s="129"/>
      <c r="B13" s="17"/>
      <c r="C13" s="3"/>
      <c r="D13" s="30" t="s">
        <v>118</v>
      </c>
      <c r="E13" s="45">
        <f>'Résultats Comp Fédérales'!E130</f>
        <v>374</v>
      </c>
      <c r="F13" s="45">
        <f>'Résultats Comp Fédérales'!F130</f>
        <v>3</v>
      </c>
      <c r="G13" s="88">
        <f t="shared" si="4"/>
        <v>124.66666666666667</v>
      </c>
      <c r="H13" s="45"/>
    </row>
    <row r="14" spans="1:8" ht="13.5" customHeight="1" x14ac:dyDescent="0.25">
      <c r="A14" s="157"/>
      <c r="B14" s="36"/>
      <c r="C14" s="31"/>
      <c r="D14" s="34"/>
      <c r="E14" s="90"/>
      <c r="F14" s="90"/>
      <c r="G14" s="89"/>
      <c r="H14" s="90"/>
    </row>
    <row r="15" spans="1:8" ht="13.5" customHeight="1" x14ac:dyDescent="0.25">
      <c r="A15" s="79">
        <v>45976</v>
      </c>
      <c r="B15" s="75" t="s">
        <v>331</v>
      </c>
      <c r="C15" s="19" t="s">
        <v>108</v>
      </c>
      <c r="D15" s="29" t="s">
        <v>269</v>
      </c>
      <c r="E15" s="45">
        <f>'Résultats Comp Fédérales'!E133</f>
        <v>447</v>
      </c>
      <c r="F15" s="45">
        <f>'Résultats Comp Fédérales'!F133</f>
        <v>3</v>
      </c>
      <c r="G15" s="88">
        <f>E15/F15</f>
        <v>149</v>
      </c>
      <c r="H15" s="45" t="str">
        <f>'Résultats Comp Fédérales'!H135</f>
        <v>équipe 6e</v>
      </c>
    </row>
    <row r="16" spans="1:8" ht="13.5" customHeight="1" x14ac:dyDescent="0.25">
      <c r="A16" s="79" t="s">
        <v>228</v>
      </c>
      <c r="B16" s="75" t="s">
        <v>107</v>
      </c>
      <c r="C16" s="3"/>
      <c r="D16" s="110" t="s">
        <v>226</v>
      </c>
      <c r="E16" s="45">
        <f>'Résultats Comp Fédérales'!E134</f>
        <v>767</v>
      </c>
      <c r="F16" s="45">
        <f>'Résultats Comp Fédérales'!F134</f>
        <v>5</v>
      </c>
      <c r="G16" s="88">
        <f t="shared" si="0"/>
        <v>153.4</v>
      </c>
    </row>
    <row r="17" spans="1:8" ht="13.5" customHeight="1" x14ac:dyDescent="0.25">
      <c r="A17" s="129"/>
      <c r="B17" s="19" t="s">
        <v>281</v>
      </c>
      <c r="C17" s="3"/>
      <c r="D17" s="15" t="s">
        <v>267</v>
      </c>
      <c r="E17" s="45">
        <f>'Résultats Comp Fédérales'!E135</f>
        <v>0</v>
      </c>
      <c r="F17" s="45">
        <f>'Résultats Comp Fédérales'!F135</f>
        <v>0</v>
      </c>
      <c r="G17" s="88" t="e">
        <f t="shared" ref="G17" si="5">E17/F17</f>
        <v>#DIV/0!</v>
      </c>
      <c r="H17" s="45"/>
    </row>
    <row r="18" spans="1:8" ht="13.5" customHeight="1" x14ac:dyDescent="0.25">
      <c r="A18" s="129"/>
      <c r="C18" s="3"/>
      <c r="D18" s="15" t="s">
        <v>125</v>
      </c>
      <c r="E18" s="45">
        <f>'Résultats Comp Fédérales'!E136</f>
        <v>580</v>
      </c>
      <c r="F18" s="45">
        <f>'Résultats Comp Fédérales'!F136</f>
        <v>4</v>
      </c>
      <c r="G18" s="88">
        <f t="shared" ref="G18" si="6">E18/F18</f>
        <v>145</v>
      </c>
      <c r="H18" s="45"/>
    </row>
    <row r="19" spans="1:8" ht="13.5" customHeight="1" x14ac:dyDescent="0.25">
      <c r="A19" s="129"/>
      <c r="B19" s="17"/>
      <c r="C19" s="3"/>
      <c r="D19" s="110" t="s">
        <v>224</v>
      </c>
      <c r="E19" s="45">
        <f>'Résultats Comp Fédérales'!E137</f>
        <v>680</v>
      </c>
      <c r="F19" s="45">
        <f>'Résultats Comp Fédérales'!F137</f>
        <v>5</v>
      </c>
      <c r="G19" s="88">
        <f t="shared" ref="G19:G21" si="7">E19/F19</f>
        <v>136</v>
      </c>
      <c r="H19" s="45"/>
    </row>
    <row r="20" spans="1:8" ht="13.5" customHeight="1" x14ac:dyDescent="0.25">
      <c r="A20" s="129"/>
      <c r="B20" s="17"/>
      <c r="C20" s="3"/>
      <c r="D20" s="15" t="s">
        <v>263</v>
      </c>
      <c r="E20" s="45">
        <f>'Résultats Comp Fédérales'!E138</f>
        <v>510</v>
      </c>
      <c r="F20" s="45">
        <f>'Résultats Comp Fédérales'!F138</f>
        <v>4</v>
      </c>
      <c r="G20" s="88">
        <f>E20/F20</f>
        <v>127.5</v>
      </c>
      <c r="H20" s="45"/>
    </row>
    <row r="21" spans="1:8" ht="13.5" customHeight="1" x14ac:dyDescent="0.25">
      <c r="A21" s="129"/>
      <c r="B21" s="17"/>
      <c r="C21" s="3"/>
      <c r="D21" s="110" t="s">
        <v>622</v>
      </c>
      <c r="E21" s="45">
        <f>'Résultats Comp Fédérales'!E139</f>
        <v>463</v>
      </c>
      <c r="F21" s="45">
        <f>'Résultats Comp Fédérales'!F139</f>
        <v>4</v>
      </c>
      <c r="G21" s="88">
        <f t="shared" si="7"/>
        <v>115.75</v>
      </c>
      <c r="H21" s="45"/>
    </row>
    <row r="22" spans="1:8" ht="13.5" customHeight="1" x14ac:dyDescent="0.25">
      <c r="A22" s="157"/>
      <c r="B22" s="36"/>
      <c r="C22" s="31"/>
      <c r="D22" s="161"/>
      <c r="E22" s="90"/>
      <c r="F22" s="90"/>
      <c r="G22" s="89"/>
      <c r="H22" s="90"/>
    </row>
    <row r="23" spans="1:8" ht="13.5" customHeight="1" x14ac:dyDescent="0.25">
      <c r="A23" s="79">
        <v>45976</v>
      </c>
      <c r="B23" s="76" t="s">
        <v>667</v>
      </c>
      <c r="C23" s="3" t="s">
        <v>136</v>
      </c>
      <c r="D23" s="30" t="s">
        <v>117</v>
      </c>
      <c r="E23" s="45">
        <f>'Résultats Comp Fédérales'!E141</f>
        <v>1074</v>
      </c>
      <c r="F23" s="45">
        <f>'Résultats Comp Fédérales'!F141</f>
        <v>7</v>
      </c>
      <c r="G23" s="88">
        <f t="shared" si="0"/>
        <v>153.42857142857142</v>
      </c>
      <c r="H23" s="45" t="str">
        <f>'Résultats Comp Fédérales'!H142</f>
        <v>équipe 5e</v>
      </c>
    </row>
    <row r="24" spans="1:8" ht="13.5" customHeight="1" x14ac:dyDescent="0.25">
      <c r="A24" s="79" t="s">
        <v>228</v>
      </c>
      <c r="B24" s="76" t="s">
        <v>107</v>
      </c>
      <c r="C24" s="3"/>
      <c r="D24" s="15" t="s">
        <v>178</v>
      </c>
      <c r="E24" s="45">
        <f>'Résultats Comp Fédérales'!E142</f>
        <v>1005</v>
      </c>
      <c r="F24" s="45">
        <f>'Résultats Comp Fédérales'!F142</f>
        <v>7</v>
      </c>
      <c r="G24" s="88">
        <f>E24/F24</f>
        <v>143.57142857142858</v>
      </c>
      <c r="H24" s="45"/>
    </row>
    <row r="25" spans="1:8" ht="13.5" customHeight="1" x14ac:dyDescent="0.25">
      <c r="B25" s="19" t="s">
        <v>280</v>
      </c>
      <c r="C25" s="3"/>
      <c r="D25" s="29" t="s">
        <v>129</v>
      </c>
      <c r="E25" s="45">
        <f>'Résultats Comp Fédérales'!E143</f>
        <v>1005</v>
      </c>
      <c r="F25" s="45">
        <f>'Résultats Comp Fédérales'!F143</f>
        <v>7</v>
      </c>
      <c r="G25" s="88">
        <f t="shared" si="0"/>
        <v>143.57142857142858</v>
      </c>
      <c r="H25" s="45"/>
    </row>
    <row r="26" spans="1:8" ht="13.5" customHeight="1" x14ac:dyDescent="0.25">
      <c r="A26" s="157"/>
      <c r="B26" s="36"/>
      <c r="C26" s="31"/>
      <c r="D26" s="34" t="s">
        <v>123</v>
      </c>
      <c r="E26" s="90"/>
      <c r="F26" s="90"/>
      <c r="G26" s="89"/>
      <c r="H26" s="90"/>
    </row>
    <row r="27" spans="1:8" ht="13.5" customHeight="1" x14ac:dyDescent="0.25">
      <c r="A27" s="79">
        <v>45977</v>
      </c>
      <c r="B27" s="76" t="s">
        <v>668</v>
      </c>
      <c r="C27" s="3" t="s">
        <v>136</v>
      </c>
      <c r="D27" s="15" t="s">
        <v>297</v>
      </c>
      <c r="E27" s="45">
        <f>'Résultats Comp Fédérales'!E145</f>
        <v>724</v>
      </c>
      <c r="F27" s="45">
        <f>'Résultats Comp Fédérales'!F145</f>
        <v>5</v>
      </c>
      <c r="G27" s="88">
        <f t="shared" ref="G27:G28" si="8">E27/F27</f>
        <v>144.80000000000001</v>
      </c>
      <c r="H27" s="45" t="str">
        <f>'Résultats Comp Fédérales'!H146</f>
        <v>équipe 4e</v>
      </c>
    </row>
    <row r="28" spans="1:8" ht="13.5" customHeight="1" x14ac:dyDescent="0.25">
      <c r="A28" s="79" t="s">
        <v>227</v>
      </c>
      <c r="B28" s="76" t="s">
        <v>107</v>
      </c>
      <c r="C28" s="3"/>
      <c r="D28" s="15" t="s">
        <v>268</v>
      </c>
      <c r="E28" s="45">
        <f>'Résultats Comp Fédérales'!E146</f>
        <v>862</v>
      </c>
      <c r="F28" s="45">
        <f>'Résultats Comp Fédérales'!F146</f>
        <v>6</v>
      </c>
      <c r="G28" s="88">
        <f t="shared" si="8"/>
        <v>143.66666666666666</v>
      </c>
      <c r="H28" s="45"/>
    </row>
    <row r="29" spans="1:8" ht="13.5" customHeight="1" x14ac:dyDescent="0.25">
      <c r="A29" s="79"/>
      <c r="B29" s="19" t="s">
        <v>280</v>
      </c>
      <c r="C29" s="3"/>
      <c r="D29" s="15" t="s">
        <v>217</v>
      </c>
      <c r="E29" s="45">
        <f>'Résultats Comp Fédérales'!E147</f>
        <v>844</v>
      </c>
      <c r="F29" s="45">
        <f>'Résultats Comp Fédérales'!F147</f>
        <v>6</v>
      </c>
      <c r="G29" s="88">
        <f t="shared" ref="G29:G30" si="9">E29/F29</f>
        <v>140.66666666666666</v>
      </c>
      <c r="H29" s="45"/>
    </row>
    <row r="30" spans="1:8" ht="13.5" customHeight="1" x14ac:dyDescent="0.25">
      <c r="A30" s="157"/>
      <c r="B30" s="36"/>
      <c r="C30" s="31"/>
      <c r="D30" s="34" t="s">
        <v>179</v>
      </c>
      <c r="E30" s="90">
        <f>'Résultats Comp Fédérales'!E148</f>
        <v>526</v>
      </c>
      <c r="F30" s="90">
        <f>'Résultats Comp Fédérales'!F148</f>
        <v>4</v>
      </c>
      <c r="G30" s="89">
        <f t="shared" si="9"/>
        <v>131.5</v>
      </c>
      <c r="H30" s="90"/>
    </row>
    <row r="31" spans="1:8" ht="13.5" customHeight="1" x14ac:dyDescent="0.25">
      <c r="A31" s="79">
        <v>46102</v>
      </c>
      <c r="B31" s="75" t="s">
        <v>666</v>
      </c>
      <c r="C31" s="19" t="s">
        <v>108</v>
      </c>
      <c r="D31" s="30" t="s">
        <v>122</v>
      </c>
      <c r="E31" s="45">
        <f>'Résultats Comp Fédérales'!E213</f>
        <v>0</v>
      </c>
      <c r="F31" s="45">
        <f>'Résultats Comp Fédérales'!F213</f>
        <v>0</v>
      </c>
      <c r="G31" s="88" t="e">
        <f>E31/F31</f>
        <v>#DIV/0!</v>
      </c>
      <c r="H31" s="45" t="str">
        <f>'Résultats Comp Fédérales'!H215</f>
        <v>équipe 10e</v>
      </c>
    </row>
    <row r="32" spans="1:8" ht="13.5" customHeight="1" x14ac:dyDescent="0.25">
      <c r="A32" s="209">
        <v>46103</v>
      </c>
      <c r="B32" s="75" t="s">
        <v>110</v>
      </c>
      <c r="C32" s="3"/>
      <c r="D32" s="15" t="s">
        <v>120</v>
      </c>
      <c r="E32" s="45">
        <f>'Résultats Comp Fédérales'!E214</f>
        <v>0</v>
      </c>
      <c r="F32" s="45">
        <f>'Résultats Comp Fédérales'!F214</f>
        <v>0</v>
      </c>
      <c r="G32" s="88" t="e">
        <f>E32/F32</f>
        <v>#DIV/0!</v>
      </c>
      <c r="H32" s="19"/>
    </row>
    <row r="33" spans="1:8" ht="13.5" customHeight="1" x14ac:dyDescent="0.25">
      <c r="A33" s="79" t="s">
        <v>228</v>
      </c>
      <c r="B33" s="19" t="s">
        <v>315</v>
      </c>
      <c r="C33" s="3"/>
      <c r="D33" s="15" t="s">
        <v>328</v>
      </c>
      <c r="E33" s="45">
        <f>'Résultats Comp Fédérales'!E215</f>
        <v>0</v>
      </c>
      <c r="F33" s="45">
        <f>'Résultats Comp Fédérales'!F215</f>
        <v>0</v>
      </c>
      <c r="G33" s="88" t="e">
        <f t="shared" ref="G33:G53" si="10">E33/F33</f>
        <v>#DIV/0!</v>
      </c>
      <c r="H33" s="19"/>
    </row>
    <row r="34" spans="1:8" ht="13.5" customHeight="1" x14ac:dyDescent="0.25">
      <c r="A34" s="79" t="s">
        <v>337</v>
      </c>
      <c r="B34" s="17"/>
      <c r="C34" s="3"/>
      <c r="D34" s="15" t="s">
        <v>219</v>
      </c>
      <c r="E34" s="45">
        <f>'Résultats Comp Fédérales'!E216</f>
        <v>0</v>
      </c>
      <c r="F34" s="45">
        <f>'Résultats Comp Fédérales'!F216</f>
        <v>0</v>
      </c>
      <c r="G34" s="88" t="e">
        <f>E34/F34</f>
        <v>#DIV/0!</v>
      </c>
      <c r="H34" s="19"/>
    </row>
    <row r="35" spans="1:8" ht="13.5" customHeight="1" x14ac:dyDescent="0.25">
      <c r="A35" s="79" t="s">
        <v>227</v>
      </c>
      <c r="B35" s="17"/>
      <c r="C35" s="3"/>
      <c r="D35" s="30" t="s">
        <v>114</v>
      </c>
      <c r="E35" s="45">
        <f>'Résultats Comp Fédérales'!E217</f>
        <v>0</v>
      </c>
      <c r="F35" s="45">
        <f>'Résultats Comp Fédérales'!F217</f>
        <v>0</v>
      </c>
      <c r="G35" s="88" t="e">
        <f t="shared" si="10"/>
        <v>#DIV/0!</v>
      </c>
      <c r="H35" s="19"/>
    </row>
    <row r="36" spans="1:8" ht="13.5" customHeight="1" x14ac:dyDescent="0.25">
      <c r="A36" s="157"/>
      <c r="B36" s="36"/>
      <c r="C36" s="31"/>
      <c r="D36" s="161" t="s">
        <v>416</v>
      </c>
      <c r="E36" s="90">
        <f>'Résultats Comp Fédérales'!E218</f>
        <v>0</v>
      </c>
      <c r="F36" s="90">
        <f>'Résultats Comp Fédérales'!F218</f>
        <v>0</v>
      </c>
      <c r="G36" s="89" t="e">
        <f t="shared" si="10"/>
        <v>#DIV/0!</v>
      </c>
      <c r="H36" s="33"/>
    </row>
    <row r="37" spans="1:8" ht="13.5" customHeight="1" x14ac:dyDescent="0.25">
      <c r="A37" s="79">
        <v>46103</v>
      </c>
      <c r="B37" s="75" t="s">
        <v>670</v>
      </c>
      <c r="C37" s="19" t="s">
        <v>108</v>
      </c>
      <c r="D37" s="110" t="s">
        <v>230</v>
      </c>
      <c r="E37" s="45">
        <f>'Résultats Comp Fédérales'!E220</f>
        <v>0</v>
      </c>
      <c r="F37" s="45">
        <f>'Résultats Comp Fédérales'!F220</f>
        <v>0</v>
      </c>
      <c r="G37" s="88" t="e">
        <f>E37/F37</f>
        <v>#DIV/0!</v>
      </c>
      <c r="H37" s="45" t="str">
        <f>'Résultats Comp Fédérales'!H222</f>
        <v>équipe 5e</v>
      </c>
    </row>
    <row r="38" spans="1:8" ht="13.5" customHeight="1" x14ac:dyDescent="0.25">
      <c r="A38" s="79" t="s">
        <v>227</v>
      </c>
      <c r="B38" s="75" t="s">
        <v>110</v>
      </c>
      <c r="C38" s="3"/>
      <c r="D38" s="29" t="s">
        <v>130</v>
      </c>
      <c r="E38" s="45">
        <f>'Résultats Comp Fédérales'!E221</f>
        <v>0</v>
      </c>
      <c r="F38" s="45">
        <f>'Résultats Comp Fédérales'!F221</f>
        <v>0</v>
      </c>
      <c r="G38" s="88" t="e">
        <f t="shared" ref="G38:G42" si="11">E38/F38</f>
        <v>#DIV/0!</v>
      </c>
    </row>
    <row r="39" spans="1:8" ht="13.5" customHeight="1" x14ac:dyDescent="0.25">
      <c r="A39" s="18"/>
      <c r="B39" s="19" t="s">
        <v>281</v>
      </c>
      <c r="C39" s="3"/>
      <c r="D39" s="29" t="s">
        <v>223</v>
      </c>
      <c r="E39" s="45">
        <f>'Résultats Comp Fédérales'!E222</f>
        <v>0</v>
      </c>
      <c r="F39" s="45">
        <f>'Résultats Comp Fédérales'!F222</f>
        <v>0</v>
      </c>
      <c r="G39" s="88" t="e">
        <f t="shared" si="11"/>
        <v>#DIV/0!</v>
      </c>
      <c r="H39" s="19"/>
    </row>
    <row r="40" spans="1:8" ht="13.5" customHeight="1" x14ac:dyDescent="0.25">
      <c r="A40" s="18"/>
      <c r="B40" s="17"/>
      <c r="C40" s="3"/>
      <c r="D40" s="30" t="s">
        <v>262</v>
      </c>
      <c r="E40" s="45">
        <f>'Résultats Comp Fédérales'!E223</f>
        <v>0</v>
      </c>
      <c r="F40" s="45">
        <f>'Résultats Comp Fédérales'!F223</f>
        <v>0</v>
      </c>
      <c r="G40" s="88" t="e">
        <f t="shared" si="11"/>
        <v>#DIV/0!</v>
      </c>
      <c r="H40" s="19"/>
    </row>
    <row r="41" spans="1:8" ht="13.5" customHeight="1" x14ac:dyDescent="0.25">
      <c r="A41" s="18"/>
      <c r="B41" s="17"/>
      <c r="C41" s="3"/>
      <c r="D41" s="15" t="s">
        <v>121</v>
      </c>
      <c r="E41" s="45">
        <f>'Résultats Comp Fédérales'!E224</f>
        <v>0</v>
      </c>
      <c r="F41" s="45">
        <f>'Résultats Comp Fédérales'!F224</f>
        <v>0</v>
      </c>
      <c r="G41" s="88" t="e">
        <f t="shared" si="11"/>
        <v>#DIV/0!</v>
      </c>
      <c r="H41" s="19"/>
    </row>
    <row r="42" spans="1:8" ht="13.5" customHeight="1" x14ac:dyDescent="0.25">
      <c r="A42" s="18"/>
      <c r="B42" s="17"/>
      <c r="C42" s="3"/>
      <c r="D42" s="30" t="s">
        <v>118</v>
      </c>
      <c r="E42" s="45">
        <f>'Résultats Comp Fédérales'!E225</f>
        <v>0</v>
      </c>
      <c r="F42" s="45">
        <f>'Résultats Comp Fédérales'!F225</f>
        <v>0</v>
      </c>
      <c r="G42" s="88" t="e">
        <f t="shared" si="11"/>
        <v>#DIV/0!</v>
      </c>
      <c r="H42" s="19"/>
    </row>
    <row r="43" spans="1:8" ht="13.5" customHeight="1" x14ac:dyDescent="0.25">
      <c r="A43" s="35"/>
      <c r="B43" s="36"/>
      <c r="C43" s="31"/>
      <c r="D43" s="34"/>
      <c r="E43" s="90"/>
      <c r="F43" s="90"/>
      <c r="G43" s="89"/>
      <c r="H43" s="33"/>
    </row>
    <row r="44" spans="1:8" ht="13.5" customHeight="1" x14ac:dyDescent="0.25">
      <c r="A44" s="79">
        <v>46103</v>
      </c>
      <c r="B44" s="75" t="s">
        <v>669</v>
      </c>
      <c r="C44" s="19" t="s">
        <v>108</v>
      </c>
      <c r="D44" s="29" t="s">
        <v>269</v>
      </c>
      <c r="E44" s="45">
        <f>'Résultats Comp Fédérales'!E228</f>
        <v>0</v>
      </c>
      <c r="F44" s="45">
        <f>'Résultats Comp Fédérales'!F228</f>
        <v>0</v>
      </c>
      <c r="G44" s="88" t="e">
        <f>E44/F44</f>
        <v>#DIV/0!</v>
      </c>
      <c r="H44" s="45" t="str">
        <f>'Résultats Comp Fédérales'!H230</f>
        <v>équipe 6e</v>
      </c>
    </row>
    <row r="45" spans="1:8" ht="13.5" customHeight="1" x14ac:dyDescent="0.25">
      <c r="A45" s="79" t="s">
        <v>227</v>
      </c>
      <c r="B45" s="75" t="s">
        <v>110</v>
      </c>
      <c r="C45" s="3"/>
      <c r="D45" s="110" t="s">
        <v>226</v>
      </c>
      <c r="E45" s="45">
        <f>'Résultats Comp Fédérales'!E229</f>
        <v>0</v>
      </c>
      <c r="F45" s="45">
        <f>'Résultats Comp Fédérales'!F229</f>
        <v>0</v>
      </c>
      <c r="G45" s="88" t="e">
        <f t="shared" si="10"/>
        <v>#DIV/0!</v>
      </c>
    </row>
    <row r="46" spans="1:8" ht="13.5" customHeight="1" x14ac:dyDescent="0.25">
      <c r="A46" s="79"/>
      <c r="B46" s="19" t="s">
        <v>281</v>
      </c>
      <c r="C46" s="3"/>
      <c r="D46" s="15" t="s">
        <v>267</v>
      </c>
      <c r="E46" s="45">
        <f>'Résultats Comp Fédérales'!E230</f>
        <v>0</v>
      </c>
      <c r="F46" s="45">
        <f>'Résultats Comp Fédérales'!F230</f>
        <v>0</v>
      </c>
      <c r="G46" s="88" t="e">
        <f t="shared" si="10"/>
        <v>#DIV/0!</v>
      </c>
      <c r="H46" s="19"/>
    </row>
    <row r="47" spans="1:8" ht="13.5" customHeight="1" x14ac:dyDescent="0.25">
      <c r="A47" s="79"/>
      <c r="B47" s="17"/>
      <c r="C47" s="3"/>
      <c r="D47" s="15" t="s">
        <v>125</v>
      </c>
      <c r="E47" s="45">
        <f>'Résultats Comp Fédérales'!E231</f>
        <v>0</v>
      </c>
      <c r="F47" s="45">
        <f>'Résultats Comp Fédérales'!F231</f>
        <v>0</v>
      </c>
      <c r="G47" s="88" t="e">
        <f t="shared" si="10"/>
        <v>#DIV/0!</v>
      </c>
      <c r="H47" s="19"/>
    </row>
    <row r="48" spans="1:8" ht="13.5" customHeight="1" x14ac:dyDescent="0.25">
      <c r="A48" s="79"/>
      <c r="B48" s="17"/>
      <c r="C48" s="3"/>
      <c r="D48" s="110" t="s">
        <v>224</v>
      </c>
      <c r="E48" s="45">
        <f>'Résultats Comp Fédérales'!E232</f>
        <v>0</v>
      </c>
      <c r="F48" s="45">
        <f>'Résultats Comp Fédérales'!F232</f>
        <v>0</v>
      </c>
      <c r="G48" s="88" t="e">
        <f t="shared" si="10"/>
        <v>#DIV/0!</v>
      </c>
      <c r="H48" s="19"/>
    </row>
    <row r="49" spans="1:8" ht="13.5" customHeight="1" x14ac:dyDescent="0.25">
      <c r="A49" s="79"/>
      <c r="B49" s="17"/>
      <c r="C49" s="3"/>
      <c r="D49" s="15" t="s">
        <v>263</v>
      </c>
      <c r="E49" s="45">
        <f>'Résultats Comp Fédérales'!E233</f>
        <v>0</v>
      </c>
      <c r="F49" s="45">
        <f>'Résultats Comp Fédérales'!F233</f>
        <v>0</v>
      </c>
      <c r="G49" s="88" t="e">
        <f t="shared" si="10"/>
        <v>#DIV/0!</v>
      </c>
      <c r="H49" s="19"/>
    </row>
    <row r="50" spans="1:8" ht="13.5" customHeight="1" x14ac:dyDescent="0.25">
      <c r="A50" s="79"/>
      <c r="B50" s="17"/>
      <c r="C50" s="3"/>
      <c r="D50" s="110" t="s">
        <v>622</v>
      </c>
      <c r="E50" s="45">
        <f>'Résultats Comp Fédérales'!E234</f>
        <v>0</v>
      </c>
      <c r="F50" s="45">
        <f>'Résultats Comp Fédérales'!F234</f>
        <v>0</v>
      </c>
      <c r="G50" s="88" t="e">
        <f t="shared" si="10"/>
        <v>#DIV/0!</v>
      </c>
      <c r="H50" s="19"/>
    </row>
    <row r="51" spans="1:8" ht="13.5" customHeight="1" x14ac:dyDescent="0.25">
      <c r="A51" s="79"/>
      <c r="B51" s="17"/>
      <c r="C51" s="3"/>
      <c r="D51" s="29"/>
      <c r="E51" s="45"/>
      <c r="F51" s="45"/>
      <c r="G51" s="88" t="e">
        <f t="shared" si="10"/>
        <v>#DIV/0!</v>
      </c>
      <c r="H51" s="19"/>
    </row>
    <row r="52" spans="1:8" ht="13.5" customHeight="1" x14ac:dyDescent="0.25">
      <c r="A52" s="79"/>
      <c r="B52" s="17"/>
      <c r="C52" s="3"/>
      <c r="D52" s="29"/>
      <c r="E52" s="45"/>
      <c r="F52" s="45"/>
      <c r="G52" s="88" t="e">
        <f t="shared" si="10"/>
        <v>#DIV/0!</v>
      </c>
      <c r="H52" s="19"/>
    </row>
    <row r="53" spans="1:8" ht="13.5" customHeight="1" x14ac:dyDescent="0.25">
      <c r="A53" s="184"/>
      <c r="B53" s="36"/>
      <c r="C53" s="31"/>
      <c r="D53" s="191"/>
      <c r="E53" s="90"/>
      <c r="F53" s="90"/>
      <c r="G53" s="89" t="e">
        <f t="shared" si="10"/>
        <v>#DIV/0!</v>
      </c>
      <c r="H53" s="33"/>
    </row>
    <row r="54" spans="1:8" ht="13.5" customHeight="1" x14ac:dyDescent="0.25">
      <c r="A54" s="79">
        <v>46102</v>
      </c>
      <c r="B54" s="76" t="s">
        <v>671</v>
      </c>
      <c r="C54" s="3" t="s">
        <v>136</v>
      </c>
      <c r="D54" s="30" t="s">
        <v>117</v>
      </c>
      <c r="E54" s="19">
        <f>'Résultats Comp Fédérales'!E236</f>
        <v>0</v>
      </c>
      <c r="F54" s="19">
        <f>'Résultats Comp Fédérales'!F236</f>
        <v>0</v>
      </c>
      <c r="G54" s="88" t="e">
        <f t="shared" si="0"/>
        <v>#DIV/0!</v>
      </c>
      <c r="H54" s="19" t="str">
        <f>'Résultats Comp Fédérales'!H241</f>
        <v>équipe 4e</v>
      </c>
    </row>
    <row r="55" spans="1:8" ht="13.5" customHeight="1" x14ac:dyDescent="0.25">
      <c r="A55" s="79" t="s">
        <v>228</v>
      </c>
      <c r="B55" s="76" t="s">
        <v>110</v>
      </c>
      <c r="C55" s="3"/>
      <c r="D55" s="15" t="s">
        <v>178</v>
      </c>
      <c r="E55" s="19">
        <f>'Résultats Comp Fédérales'!E237</f>
        <v>0</v>
      </c>
      <c r="F55" s="19">
        <f>'Résultats Comp Fédérales'!F237</f>
        <v>0</v>
      </c>
      <c r="G55" s="88" t="e">
        <f t="shared" ref="G55" si="12">E55/F55</f>
        <v>#DIV/0!</v>
      </c>
      <c r="H55" s="19"/>
    </row>
    <row r="56" spans="1:8" ht="13.5" customHeight="1" x14ac:dyDescent="0.25">
      <c r="A56" s="129"/>
      <c r="B56" s="19" t="s">
        <v>280</v>
      </c>
      <c r="C56" s="3"/>
      <c r="D56" s="29" t="s">
        <v>129</v>
      </c>
      <c r="E56" s="19">
        <f>'Résultats Comp Fédérales'!E238</f>
        <v>0</v>
      </c>
      <c r="F56" s="19">
        <f>'Résultats Comp Fédérales'!F238</f>
        <v>0</v>
      </c>
      <c r="G56" s="88" t="e">
        <f t="shared" si="0"/>
        <v>#DIV/0!</v>
      </c>
      <c r="H56" s="19"/>
    </row>
    <row r="57" spans="1:8" ht="13.5" customHeight="1" x14ac:dyDescent="0.25">
      <c r="A57" s="157"/>
      <c r="B57" s="36"/>
      <c r="C57" s="31"/>
      <c r="D57" s="34" t="s">
        <v>123</v>
      </c>
      <c r="E57" s="33">
        <f>'Résultats Comp Fédérales'!E239</f>
        <v>0</v>
      </c>
      <c r="F57" s="33">
        <f>'Résultats Comp Fédérales'!F239</f>
        <v>0</v>
      </c>
      <c r="G57" s="89" t="e">
        <f t="shared" si="0"/>
        <v>#DIV/0!</v>
      </c>
      <c r="H57" s="33"/>
    </row>
    <row r="58" spans="1:8" ht="13.5" customHeight="1" x14ac:dyDescent="0.25">
      <c r="A58" s="79">
        <v>46102</v>
      </c>
      <c r="B58" s="76" t="s">
        <v>672</v>
      </c>
      <c r="C58" s="3" t="s">
        <v>136</v>
      </c>
      <c r="D58" s="15" t="s">
        <v>297</v>
      </c>
      <c r="E58" s="19">
        <f>'Résultats Comp Fédérales'!E240</f>
        <v>0</v>
      </c>
      <c r="F58" s="19">
        <f>'Résultats Comp Fédérales'!F240</f>
        <v>0</v>
      </c>
      <c r="G58" s="88" t="e">
        <f t="shared" si="0"/>
        <v>#DIV/0!</v>
      </c>
      <c r="H58" s="19">
        <f>'Résultats Comp Fédérales'!H244</f>
        <v>0</v>
      </c>
    </row>
    <row r="59" spans="1:8" ht="13.5" customHeight="1" x14ac:dyDescent="0.25">
      <c r="A59" s="79" t="s">
        <v>228</v>
      </c>
      <c r="B59" s="76" t="s">
        <v>110</v>
      </c>
      <c r="C59" s="3"/>
      <c r="D59" s="15" t="s">
        <v>268</v>
      </c>
      <c r="E59" s="19">
        <f>'Résultats Comp Fédérales'!E241</f>
        <v>0</v>
      </c>
      <c r="F59" s="19">
        <f>'Résultats Comp Fédérales'!F241</f>
        <v>0</v>
      </c>
      <c r="G59" s="88" t="e">
        <f t="shared" si="0"/>
        <v>#DIV/0!</v>
      </c>
      <c r="H59" s="19"/>
    </row>
    <row r="60" spans="1:8" ht="13.5" customHeight="1" x14ac:dyDescent="0.25">
      <c r="A60" s="79"/>
      <c r="B60" s="19" t="s">
        <v>280</v>
      </c>
      <c r="C60" s="3"/>
      <c r="D60" s="15" t="s">
        <v>217</v>
      </c>
      <c r="E60" s="19">
        <f>'Résultats Comp Fédérales'!E242</f>
        <v>0</v>
      </c>
      <c r="F60" s="19">
        <f>'Résultats Comp Fédérales'!F242</f>
        <v>0</v>
      </c>
      <c r="G60" s="88" t="e">
        <f t="shared" si="0"/>
        <v>#DIV/0!</v>
      </c>
      <c r="H60" s="19"/>
    </row>
    <row r="61" spans="1:8" ht="13.5" customHeight="1" x14ac:dyDescent="0.25">
      <c r="A61" s="129"/>
      <c r="C61" s="3"/>
      <c r="D61" s="15" t="s">
        <v>179</v>
      </c>
      <c r="E61" s="19">
        <f>'Résultats Comp Fédérales'!E243</f>
        <v>0</v>
      </c>
      <c r="F61" s="19">
        <f>'Résultats Comp Fédérales'!F243</f>
        <v>0</v>
      </c>
      <c r="G61" s="88" t="e">
        <f t="shared" si="0"/>
        <v>#DIV/0!</v>
      </c>
      <c r="H61" s="19"/>
    </row>
    <row r="62" spans="1:8" ht="13.5" customHeight="1" x14ac:dyDescent="0.25">
      <c r="A62" s="157"/>
      <c r="B62" s="36"/>
      <c r="C62" s="31"/>
      <c r="D62" s="34" t="s">
        <v>268</v>
      </c>
      <c r="E62" s="33">
        <f>'Résultats Comp Fédérales'!E244</f>
        <v>0</v>
      </c>
      <c r="F62" s="33">
        <f>'Résultats Comp Fédérales'!F244</f>
        <v>0</v>
      </c>
      <c r="G62" s="89" t="e">
        <f t="shared" si="0"/>
        <v>#DIV/0!</v>
      </c>
      <c r="H62" s="33"/>
    </row>
    <row r="63" spans="1:8" ht="13.5" customHeight="1" x14ac:dyDescent="0.25">
      <c r="A63" s="79"/>
      <c r="B63" s="75" t="s">
        <v>665</v>
      </c>
      <c r="C63" s="19" t="s">
        <v>108</v>
      </c>
      <c r="D63" s="30" t="s">
        <v>122</v>
      </c>
      <c r="E63" s="45">
        <f>'Résultats Comp Fédérales'!E374</f>
        <v>0</v>
      </c>
      <c r="F63" s="45">
        <f>'Résultats Comp Fédérales'!F374</f>
        <v>0</v>
      </c>
      <c r="G63" s="88" t="e">
        <f>E63/F63</f>
        <v>#DIV/0!</v>
      </c>
      <c r="H63" s="45">
        <f>'Résultats Comp Fédérales'!H374</f>
        <v>0</v>
      </c>
    </row>
    <row r="64" spans="1:8" ht="13.5" customHeight="1" x14ac:dyDescent="0.25">
      <c r="A64" s="79"/>
      <c r="B64" s="75" t="s">
        <v>174</v>
      </c>
      <c r="C64" s="3"/>
      <c r="D64" s="15" t="s">
        <v>120</v>
      </c>
      <c r="E64" s="45">
        <f>'Résultats Comp Fédérales'!E375</f>
        <v>0</v>
      </c>
      <c r="F64" s="45">
        <f>'Résultats Comp Fédérales'!F375</f>
        <v>0</v>
      </c>
      <c r="G64" s="88" t="e">
        <f>E64/F64</f>
        <v>#DIV/0!</v>
      </c>
      <c r="H64" s="45"/>
    </row>
    <row r="65" spans="1:8" ht="13.5" customHeight="1" x14ac:dyDescent="0.25">
      <c r="A65" s="79" t="s">
        <v>228</v>
      </c>
      <c r="B65" s="19" t="s">
        <v>315</v>
      </c>
      <c r="C65" s="3"/>
      <c r="D65" s="15" t="s">
        <v>328</v>
      </c>
      <c r="E65" s="45">
        <f>'Résultats Comp Fédérales'!E376</f>
        <v>0</v>
      </c>
      <c r="F65" s="45">
        <f>'Résultats Comp Fédérales'!F376</f>
        <v>0</v>
      </c>
      <c r="G65" s="88" t="e">
        <f t="shared" ref="G65" si="13">E65/F65</f>
        <v>#DIV/0!</v>
      </c>
      <c r="H65" s="19"/>
    </row>
    <row r="66" spans="1:8" ht="13.5" customHeight="1" x14ac:dyDescent="0.25">
      <c r="A66" s="79" t="s">
        <v>337</v>
      </c>
      <c r="B66" s="17"/>
      <c r="C66" s="3"/>
      <c r="D66" s="15" t="s">
        <v>219</v>
      </c>
      <c r="E66" s="45">
        <f>'Résultats Comp Fédérales'!E377</f>
        <v>0</v>
      </c>
      <c r="F66" s="45">
        <f>'Résultats Comp Fédérales'!F377</f>
        <v>0</v>
      </c>
      <c r="G66" s="88" t="e">
        <f>E66/F66</f>
        <v>#DIV/0!</v>
      </c>
      <c r="H66" s="19"/>
    </row>
    <row r="67" spans="1:8" ht="13.5" customHeight="1" x14ac:dyDescent="0.25">
      <c r="A67" s="79" t="s">
        <v>227</v>
      </c>
      <c r="B67" s="17"/>
      <c r="C67" s="3"/>
      <c r="D67" s="30" t="s">
        <v>114</v>
      </c>
      <c r="E67" s="45">
        <f>'Résultats Comp Fédérales'!E378</f>
        <v>0</v>
      </c>
      <c r="F67" s="45">
        <f>'Résultats Comp Fédérales'!F378</f>
        <v>0</v>
      </c>
      <c r="G67" s="88" t="e">
        <f>E67/F67</f>
        <v>#DIV/0!</v>
      </c>
      <c r="H67" s="19"/>
    </row>
    <row r="68" spans="1:8" ht="13.5" customHeight="1" x14ac:dyDescent="0.25">
      <c r="A68" s="129"/>
      <c r="B68" s="17"/>
      <c r="C68" s="3"/>
      <c r="D68" s="29" t="s">
        <v>416</v>
      </c>
      <c r="E68" s="45">
        <f>'Résultats Comp Fédérales'!E379</f>
        <v>0</v>
      </c>
      <c r="F68" s="45">
        <f>'Résultats Comp Fédérales'!F379</f>
        <v>0</v>
      </c>
      <c r="G68" s="88" t="e">
        <f t="shared" ref="G68:G85" si="14">E68/F68</f>
        <v>#DIV/0!</v>
      </c>
      <c r="H68" s="19"/>
    </row>
    <row r="69" spans="1:8" ht="13.5" customHeight="1" x14ac:dyDescent="0.25">
      <c r="A69" s="157"/>
      <c r="B69" s="37"/>
      <c r="C69" s="31"/>
      <c r="D69" s="34"/>
      <c r="E69" s="90"/>
      <c r="F69" s="90"/>
      <c r="G69" s="89"/>
      <c r="H69" s="33"/>
    </row>
    <row r="70" spans="1:8" ht="13.5" customHeight="1" x14ac:dyDescent="0.25">
      <c r="A70" s="79"/>
      <c r="B70" s="75" t="s">
        <v>338</v>
      </c>
      <c r="C70" s="19" t="s">
        <v>108</v>
      </c>
      <c r="D70" s="110" t="s">
        <v>230</v>
      </c>
      <c r="E70" s="45">
        <f>'Résultats Comp Fédérales'!E381</f>
        <v>0</v>
      </c>
      <c r="F70" s="45">
        <f>'Résultats Comp Fédérales'!F381</f>
        <v>0</v>
      </c>
      <c r="G70" s="88" t="e">
        <f t="shared" ref="G70:G75" si="15">E70/F70</f>
        <v>#DIV/0!</v>
      </c>
      <c r="H70" s="45">
        <f>'Résultats Comp Fédérales'!H389</f>
        <v>0</v>
      </c>
    </row>
    <row r="71" spans="1:8" ht="13.5" customHeight="1" x14ac:dyDescent="0.25">
      <c r="A71" s="79" t="s">
        <v>228</v>
      </c>
      <c r="B71" s="75" t="s">
        <v>174</v>
      </c>
      <c r="C71" s="3"/>
      <c r="D71" s="29" t="s">
        <v>130</v>
      </c>
      <c r="E71" s="45">
        <f>'Résultats Comp Fédérales'!E382</f>
        <v>0</v>
      </c>
      <c r="F71" s="45">
        <f>'Résultats Comp Fédérales'!F382</f>
        <v>0</v>
      </c>
      <c r="G71" s="88" t="e">
        <f t="shared" si="15"/>
        <v>#DIV/0!</v>
      </c>
      <c r="H71" s="19"/>
    </row>
    <row r="72" spans="1:8" ht="13.5" customHeight="1" x14ac:dyDescent="0.25">
      <c r="A72" s="18"/>
      <c r="B72" s="19" t="s">
        <v>281</v>
      </c>
      <c r="C72" s="3"/>
      <c r="D72" s="29" t="s">
        <v>223</v>
      </c>
      <c r="E72" s="45">
        <f>'Résultats Comp Fédérales'!E383</f>
        <v>0</v>
      </c>
      <c r="F72" s="45">
        <f>'Résultats Comp Fédérales'!F383</f>
        <v>0</v>
      </c>
      <c r="G72" s="88" t="e">
        <f t="shared" si="15"/>
        <v>#DIV/0!</v>
      </c>
      <c r="H72" s="19"/>
    </row>
    <row r="73" spans="1:8" ht="13.5" customHeight="1" x14ac:dyDescent="0.25">
      <c r="A73" s="18"/>
      <c r="B73" s="19"/>
      <c r="C73" s="3"/>
      <c r="D73" s="30" t="s">
        <v>262</v>
      </c>
      <c r="E73" s="45">
        <f>'Résultats Comp Fédérales'!E384</f>
        <v>0</v>
      </c>
      <c r="F73" s="45">
        <f>'Résultats Comp Fédérales'!F384</f>
        <v>0</v>
      </c>
      <c r="G73" s="88" t="e">
        <f t="shared" si="15"/>
        <v>#DIV/0!</v>
      </c>
      <c r="H73" s="19"/>
    </row>
    <row r="74" spans="1:8" ht="13.5" customHeight="1" x14ac:dyDescent="0.25">
      <c r="A74" s="18"/>
      <c r="B74" s="17"/>
      <c r="C74" s="3"/>
      <c r="D74" s="15" t="s">
        <v>121</v>
      </c>
      <c r="E74" s="45">
        <f>'Résultats Comp Fédérales'!E385</f>
        <v>0</v>
      </c>
      <c r="F74" s="45">
        <f>'Résultats Comp Fédérales'!F385</f>
        <v>0</v>
      </c>
      <c r="G74" s="88" t="e">
        <f t="shared" si="15"/>
        <v>#DIV/0!</v>
      </c>
      <c r="H74" s="19"/>
    </row>
    <row r="75" spans="1:8" ht="13.5" customHeight="1" x14ac:dyDescent="0.25">
      <c r="A75" s="35"/>
      <c r="B75" s="36"/>
      <c r="C75" s="31"/>
      <c r="D75" s="81" t="s">
        <v>118</v>
      </c>
      <c r="E75" s="90">
        <f>'Résultats Comp Fédérales'!E386</f>
        <v>0</v>
      </c>
      <c r="F75" s="90">
        <f>'Résultats Comp Fédérales'!F386</f>
        <v>0</v>
      </c>
      <c r="G75" s="89" t="e">
        <f t="shared" si="15"/>
        <v>#DIV/0!</v>
      </c>
      <c r="H75" s="33"/>
    </row>
    <row r="76" spans="1:8" ht="13.5" customHeight="1" x14ac:dyDescent="0.25">
      <c r="A76" s="79">
        <v>45801</v>
      </c>
      <c r="B76" s="75" t="s">
        <v>339</v>
      </c>
      <c r="C76" s="19" t="s">
        <v>108</v>
      </c>
      <c r="D76" s="29" t="s">
        <v>269</v>
      </c>
      <c r="E76" s="45">
        <f>'Résultats Comp Fédérales'!E389</f>
        <v>0</v>
      </c>
      <c r="F76" s="45">
        <f>'Résultats Comp Fédérales'!F389</f>
        <v>0</v>
      </c>
      <c r="G76" s="88" t="e">
        <f>E76/F76</f>
        <v>#DIV/0!</v>
      </c>
      <c r="H76" s="45">
        <f>'Résultats Comp Fédérales'!H382</f>
        <v>0</v>
      </c>
    </row>
    <row r="77" spans="1:8" ht="13.5" customHeight="1" x14ac:dyDescent="0.25">
      <c r="A77" s="79" t="s">
        <v>228</v>
      </c>
      <c r="B77" s="75" t="s">
        <v>174</v>
      </c>
      <c r="C77" s="3"/>
      <c r="D77" s="110" t="s">
        <v>226</v>
      </c>
      <c r="E77" s="45">
        <f>'Résultats Comp Fédérales'!E390</f>
        <v>0</v>
      </c>
      <c r="F77" s="45">
        <f>'Résultats Comp Fédérales'!F390</f>
        <v>0</v>
      </c>
      <c r="G77" s="88" t="e">
        <f t="shared" si="14"/>
        <v>#DIV/0!</v>
      </c>
      <c r="H77" s="202"/>
    </row>
    <row r="78" spans="1:8" ht="13.5" customHeight="1" x14ac:dyDescent="0.25">
      <c r="A78" s="129"/>
      <c r="B78" s="19" t="s">
        <v>281</v>
      </c>
      <c r="C78" s="3"/>
      <c r="D78" s="15" t="s">
        <v>267</v>
      </c>
      <c r="E78" s="45">
        <f>'Résultats Comp Fédérales'!E391</f>
        <v>0</v>
      </c>
      <c r="F78" s="45">
        <f>'Résultats Comp Fédérales'!F391</f>
        <v>0</v>
      </c>
      <c r="G78" s="88" t="e">
        <f t="shared" si="14"/>
        <v>#DIV/0!</v>
      </c>
      <c r="H78" s="19"/>
    </row>
    <row r="79" spans="1:8" ht="13.5" customHeight="1" x14ac:dyDescent="0.25">
      <c r="C79" s="3"/>
      <c r="D79" s="15" t="s">
        <v>125</v>
      </c>
      <c r="E79" s="45">
        <f>'Résultats Comp Fédérales'!E392</f>
        <v>0</v>
      </c>
      <c r="F79" s="45">
        <f>'Résultats Comp Fédérales'!F392</f>
        <v>0</v>
      </c>
      <c r="G79" s="88" t="e">
        <f t="shared" si="14"/>
        <v>#DIV/0!</v>
      </c>
      <c r="H79" s="19"/>
    </row>
    <row r="80" spans="1:8" ht="13.5" customHeight="1" x14ac:dyDescent="0.25">
      <c r="A80" s="129"/>
      <c r="B80" s="19"/>
      <c r="C80" s="3"/>
      <c r="D80" s="110" t="s">
        <v>224</v>
      </c>
      <c r="E80" s="45">
        <f>'Résultats Comp Fédérales'!E393</f>
        <v>0</v>
      </c>
      <c r="F80" s="45">
        <f>'Résultats Comp Fédérales'!F393</f>
        <v>0</v>
      </c>
      <c r="G80" s="88" t="e">
        <f t="shared" si="14"/>
        <v>#DIV/0!</v>
      </c>
      <c r="H80" s="19"/>
    </row>
    <row r="81" spans="1:10" ht="13.5" customHeight="1" x14ac:dyDescent="0.25">
      <c r="A81" s="129"/>
      <c r="B81" s="19"/>
      <c r="C81" s="3"/>
      <c r="D81" s="15" t="s">
        <v>263</v>
      </c>
      <c r="E81" s="45">
        <f>'Résultats Comp Fédérales'!E394</f>
        <v>0</v>
      </c>
      <c r="F81" s="45">
        <f>'Résultats Comp Fédérales'!F394</f>
        <v>0</v>
      </c>
      <c r="G81" s="88" t="e">
        <f t="shared" si="14"/>
        <v>#DIV/0!</v>
      </c>
      <c r="H81" s="19"/>
    </row>
    <row r="82" spans="1:10" ht="13.5" customHeight="1" x14ac:dyDescent="0.25">
      <c r="A82" s="129"/>
      <c r="B82" s="17"/>
      <c r="C82" s="3"/>
      <c r="D82" s="110" t="s">
        <v>622</v>
      </c>
      <c r="E82" s="45">
        <f>'Résultats Comp Fédérales'!E395</f>
        <v>0</v>
      </c>
      <c r="F82" s="45">
        <f>'Résultats Comp Fédérales'!F395</f>
        <v>0</v>
      </c>
      <c r="G82" s="88" t="e">
        <f t="shared" si="14"/>
        <v>#DIV/0!</v>
      </c>
      <c r="H82" s="19"/>
    </row>
    <row r="83" spans="1:10" ht="13.5" customHeight="1" x14ac:dyDescent="0.25">
      <c r="D83" s="29"/>
      <c r="E83" s="45"/>
      <c r="F83" s="45"/>
      <c r="G83" s="88" t="e">
        <f t="shared" si="14"/>
        <v>#DIV/0!</v>
      </c>
      <c r="H83" s="19"/>
    </row>
    <row r="84" spans="1:10" ht="13.5" customHeight="1" x14ac:dyDescent="0.25">
      <c r="D84" s="29"/>
      <c r="E84" s="45"/>
      <c r="F84" s="45"/>
      <c r="G84" s="88" t="e">
        <f t="shared" si="14"/>
        <v>#DIV/0!</v>
      </c>
      <c r="H84" s="19"/>
    </row>
    <row r="85" spans="1:10" ht="13.5" customHeight="1" x14ac:dyDescent="0.25">
      <c r="A85" s="37"/>
      <c r="B85" s="37"/>
      <c r="C85" s="37"/>
      <c r="D85" s="191"/>
      <c r="E85" s="90"/>
      <c r="F85" s="90"/>
      <c r="G85" s="89" t="e">
        <f t="shared" si="14"/>
        <v>#DIV/0!</v>
      </c>
      <c r="H85" s="33"/>
    </row>
    <row r="86" spans="1:10" ht="13.5" customHeight="1" x14ac:dyDescent="0.25">
      <c r="A86" s="79"/>
      <c r="B86" s="76" t="s">
        <v>673</v>
      </c>
      <c r="C86" s="3" t="s">
        <v>136</v>
      </c>
      <c r="D86" s="30" t="s">
        <v>117</v>
      </c>
      <c r="E86" s="45">
        <f>'Résultats Comp Fédérales'!E397</f>
        <v>0</v>
      </c>
      <c r="F86" s="45">
        <f>'Résultats Comp Fédérales'!F397</f>
        <v>0</v>
      </c>
      <c r="G86" s="88" t="e">
        <f t="shared" si="0"/>
        <v>#DIV/0!</v>
      </c>
      <c r="H86" s="45">
        <f>'Résultats Comp Fédérales'!H406</f>
        <v>0</v>
      </c>
    </row>
    <row r="87" spans="1:10" ht="13.5" customHeight="1" x14ac:dyDescent="0.25">
      <c r="A87" s="79"/>
      <c r="B87" s="76" t="s">
        <v>174</v>
      </c>
      <c r="C87" s="3"/>
      <c r="D87" s="15" t="s">
        <v>178</v>
      </c>
      <c r="E87" s="45">
        <f>'Résultats Comp Fédérales'!E398</f>
        <v>0</v>
      </c>
      <c r="F87" s="45">
        <f>'Résultats Comp Fédérales'!F398</f>
        <v>0</v>
      </c>
      <c r="G87" s="88" t="e">
        <f t="shared" si="0"/>
        <v>#DIV/0!</v>
      </c>
      <c r="H87" s="19"/>
    </row>
    <row r="88" spans="1:10" ht="13.5" customHeight="1" x14ac:dyDescent="0.25">
      <c r="A88" s="18"/>
      <c r="B88" s="19" t="s">
        <v>280</v>
      </c>
      <c r="C88" s="3"/>
      <c r="D88" s="29" t="s">
        <v>129</v>
      </c>
      <c r="E88" s="45">
        <f>'Résultats Comp Fédérales'!E399</f>
        <v>0</v>
      </c>
      <c r="F88" s="45">
        <f>'Résultats Comp Fédérales'!F399</f>
        <v>0</v>
      </c>
      <c r="G88" s="88" t="e">
        <f t="shared" ref="G88:G89" si="16">E88/F88</f>
        <v>#DIV/0!</v>
      </c>
      <c r="H88" s="19"/>
    </row>
    <row r="89" spans="1:10" ht="13.5" customHeight="1" x14ac:dyDescent="0.25">
      <c r="A89" s="35"/>
      <c r="B89" s="33"/>
      <c r="C89" s="31"/>
      <c r="D89" s="34" t="s">
        <v>123</v>
      </c>
      <c r="E89" s="90">
        <f>'Résultats Comp Fédérales'!E400</f>
        <v>0</v>
      </c>
      <c r="F89" s="90">
        <f>'Résultats Comp Fédérales'!F400</f>
        <v>0</v>
      </c>
      <c r="G89" s="89" t="e">
        <f t="shared" si="16"/>
        <v>#DIV/0!</v>
      </c>
      <c r="H89" s="33"/>
    </row>
    <row r="90" spans="1:10" ht="13.5" customHeight="1" x14ac:dyDescent="0.25">
      <c r="A90" s="79"/>
      <c r="B90" s="76" t="s">
        <v>674</v>
      </c>
      <c r="C90" s="3" t="s">
        <v>136</v>
      </c>
      <c r="D90" s="15" t="s">
        <v>297</v>
      </c>
      <c r="E90" s="45">
        <f>'Résultats Comp Fédérales'!E401</f>
        <v>0</v>
      </c>
      <c r="F90" s="45">
        <f>'Résultats Comp Fédérales'!F401</f>
        <v>0</v>
      </c>
      <c r="G90" s="88" t="e">
        <f t="shared" ref="G90:G92" si="17">E90/F90</f>
        <v>#DIV/0!</v>
      </c>
      <c r="H90" s="45">
        <f>'Résultats Comp Fédérales'!H411</f>
        <v>0</v>
      </c>
    </row>
    <row r="91" spans="1:10" ht="13.5" customHeight="1" x14ac:dyDescent="0.25">
      <c r="A91" s="79"/>
      <c r="B91" s="76" t="s">
        <v>174</v>
      </c>
      <c r="C91" s="3"/>
      <c r="D91" s="15" t="s">
        <v>268</v>
      </c>
      <c r="E91" s="45">
        <f>'Résultats Comp Fédérales'!E402</f>
        <v>0</v>
      </c>
      <c r="F91" s="45">
        <f>'Résultats Comp Fédérales'!F402</f>
        <v>0</v>
      </c>
      <c r="G91" s="88" t="e">
        <f t="shared" si="17"/>
        <v>#DIV/0!</v>
      </c>
      <c r="H91" s="19"/>
    </row>
    <row r="92" spans="1:10" ht="13.5" customHeight="1" x14ac:dyDescent="0.25">
      <c r="A92" s="18"/>
      <c r="B92" s="19" t="s">
        <v>280</v>
      </c>
      <c r="C92" s="3"/>
      <c r="D92" s="15" t="s">
        <v>217</v>
      </c>
      <c r="E92" s="45">
        <f>'Résultats Comp Fédérales'!E403</f>
        <v>0</v>
      </c>
      <c r="F92" s="45">
        <f>'Résultats Comp Fédérales'!F403</f>
        <v>0</v>
      </c>
      <c r="G92" s="88" t="e">
        <f t="shared" si="17"/>
        <v>#DIV/0!</v>
      </c>
      <c r="H92" s="19"/>
    </row>
    <row r="93" spans="1:10" ht="13.5" customHeight="1" x14ac:dyDescent="0.25">
      <c r="A93" s="35"/>
      <c r="B93" s="36"/>
      <c r="C93" s="31"/>
      <c r="D93" s="34" t="s">
        <v>179</v>
      </c>
      <c r="E93" s="90">
        <f>'Résultats Comp Fédérales'!E404</f>
        <v>0</v>
      </c>
      <c r="F93" s="90">
        <f>'Résultats Comp Fédérales'!F404</f>
        <v>0</v>
      </c>
      <c r="G93" s="89" t="e">
        <f t="shared" ref="G93" si="18">E93/F93</f>
        <v>#DIV/0!</v>
      </c>
      <c r="H93" s="33"/>
    </row>
    <row r="94" spans="1:10" ht="13.8" thickBot="1" x14ac:dyDescent="0.3">
      <c r="D94" s="28"/>
      <c r="G94" s="5"/>
    </row>
    <row r="95" spans="1:10" ht="28.5" customHeight="1" thickBot="1" x14ac:dyDescent="0.3">
      <c r="B95" s="1" t="s">
        <v>115</v>
      </c>
      <c r="C95" s="16" t="s">
        <v>26</v>
      </c>
      <c r="D95" s="1" t="s">
        <v>27</v>
      </c>
      <c r="E95" s="1" t="s">
        <v>28</v>
      </c>
      <c r="F95" s="1" t="s">
        <v>29</v>
      </c>
      <c r="G95" s="2" t="s">
        <v>30</v>
      </c>
      <c r="H95" s="193" t="s">
        <v>202</v>
      </c>
      <c r="I95" s="194" t="s">
        <v>291</v>
      </c>
      <c r="J95" s="1" t="s">
        <v>289</v>
      </c>
    </row>
    <row r="96" spans="1:10" ht="13.5" customHeight="1" x14ac:dyDescent="0.25">
      <c r="B96" s="75" t="s">
        <v>680</v>
      </c>
      <c r="C96" s="3" t="s">
        <v>108</v>
      </c>
      <c r="D96" s="30" t="s">
        <v>122</v>
      </c>
      <c r="E96" s="3">
        <f t="shared" ref="E96:F101" si="19">E2+E31+E63</f>
        <v>1823</v>
      </c>
      <c r="F96" s="3">
        <f t="shared" si="19"/>
        <v>9</v>
      </c>
      <c r="G96" s="88">
        <f t="shared" ref="G96:G120" si="20">E96/F96</f>
        <v>202.55555555555554</v>
      </c>
      <c r="H96" s="196">
        <f t="shared" ref="H96:H100" si="21">G96-I96</f>
        <v>13.795555555555552</v>
      </c>
      <c r="I96" s="195">
        <v>188.76</v>
      </c>
      <c r="J96" s="195">
        <v>177.15</v>
      </c>
    </row>
    <row r="97" spans="1:10" ht="13.5" customHeight="1" x14ac:dyDescent="0.25">
      <c r="B97" s="17"/>
      <c r="D97" s="15" t="s">
        <v>120</v>
      </c>
      <c r="E97" s="3">
        <f t="shared" si="19"/>
        <v>1628</v>
      </c>
      <c r="F97" s="3">
        <f t="shared" si="19"/>
        <v>9</v>
      </c>
      <c r="G97" s="88">
        <f t="shared" ref="G97:G98" si="22">E97/F97</f>
        <v>180.88888888888889</v>
      </c>
      <c r="H97" s="197">
        <f t="shared" si="21"/>
        <v>-11.751111111111101</v>
      </c>
      <c r="I97" s="123">
        <v>192.64</v>
      </c>
      <c r="J97" s="195">
        <v>192.31</v>
      </c>
    </row>
    <row r="98" spans="1:10" ht="13.5" customHeight="1" x14ac:dyDescent="0.25">
      <c r="B98" s="17"/>
      <c r="D98" s="15" t="s">
        <v>328</v>
      </c>
      <c r="E98" s="3">
        <f t="shared" si="19"/>
        <v>1405</v>
      </c>
      <c r="F98" s="3">
        <f t="shared" si="19"/>
        <v>8</v>
      </c>
      <c r="G98" s="88">
        <f t="shared" si="22"/>
        <v>175.625</v>
      </c>
      <c r="H98" s="197">
        <f>G98-I98</f>
        <v>-2.8149999999999977</v>
      </c>
      <c r="I98" s="195">
        <v>178.44</v>
      </c>
      <c r="J98" s="195">
        <v>181.98</v>
      </c>
    </row>
    <row r="99" spans="1:10" ht="13.5" customHeight="1" x14ac:dyDescent="0.25">
      <c r="B99" s="17"/>
      <c r="D99" s="15" t="s">
        <v>219</v>
      </c>
      <c r="E99" s="3">
        <f t="shared" si="19"/>
        <v>1203</v>
      </c>
      <c r="F99" s="3">
        <f t="shared" si="19"/>
        <v>8</v>
      </c>
      <c r="G99" s="88">
        <f t="shared" ref="G99:G110" si="23">E99/F99</f>
        <v>150.375</v>
      </c>
      <c r="H99" s="197">
        <f>G99-I99</f>
        <v>-11.735000000000014</v>
      </c>
      <c r="I99" s="195">
        <v>162.11000000000001</v>
      </c>
      <c r="J99" s="123">
        <v>170.86</v>
      </c>
    </row>
    <row r="100" spans="1:10" ht="13.5" customHeight="1" x14ac:dyDescent="0.25">
      <c r="B100" s="17"/>
      <c r="D100" s="30" t="s">
        <v>114</v>
      </c>
      <c r="E100" s="3">
        <f t="shared" si="19"/>
        <v>1037</v>
      </c>
      <c r="F100" s="3">
        <f t="shared" si="19"/>
        <v>7</v>
      </c>
      <c r="G100" s="88">
        <f t="shared" si="23"/>
        <v>148.14285714285714</v>
      </c>
      <c r="H100" s="197">
        <f t="shared" si="21"/>
        <v>-20.59714285714287</v>
      </c>
      <c r="I100" s="123">
        <v>168.74</v>
      </c>
      <c r="J100" s="195">
        <v>166.75</v>
      </c>
    </row>
    <row r="101" spans="1:10" ht="13.5" customHeight="1" x14ac:dyDescent="0.25">
      <c r="B101" s="17"/>
      <c r="D101" s="29" t="s">
        <v>416</v>
      </c>
      <c r="E101" s="3">
        <f t="shared" si="19"/>
        <v>723</v>
      </c>
      <c r="F101" s="3">
        <f t="shared" si="19"/>
        <v>4</v>
      </c>
      <c r="G101" s="88">
        <f t="shared" si="23"/>
        <v>180.75</v>
      </c>
      <c r="H101" s="196">
        <f>G101-I101</f>
        <v>10.330000000000013</v>
      </c>
      <c r="I101" s="123">
        <v>170.42</v>
      </c>
      <c r="J101" s="195">
        <v>160.41999999999999</v>
      </c>
    </row>
    <row r="102" spans="1:10" ht="13.5" customHeight="1" x14ac:dyDescent="0.25">
      <c r="A102" s="37"/>
      <c r="B102" s="36"/>
      <c r="C102" s="37"/>
      <c r="D102" s="34"/>
      <c r="E102" s="31"/>
      <c r="F102" s="31"/>
      <c r="G102" s="89"/>
      <c r="H102" s="201"/>
      <c r="I102" s="199"/>
      <c r="J102" s="199"/>
    </row>
    <row r="103" spans="1:10" ht="13.5" customHeight="1" x14ac:dyDescent="0.25">
      <c r="B103" s="75" t="s">
        <v>279</v>
      </c>
      <c r="C103" s="45" t="s">
        <v>108</v>
      </c>
      <c r="D103" s="110" t="s">
        <v>230</v>
      </c>
      <c r="E103" s="19">
        <f t="shared" ref="E103:F108" si="24">E8+E37+E70</f>
        <v>946</v>
      </c>
      <c r="F103" s="19">
        <f t="shared" si="24"/>
        <v>5</v>
      </c>
      <c r="G103" s="88">
        <f>E103/F103</f>
        <v>189.2</v>
      </c>
      <c r="H103" s="197">
        <f t="shared" ref="H103:H108" si="25">G103-I103</f>
        <v>-3.5300000000000011</v>
      </c>
      <c r="I103" s="123">
        <v>192.73</v>
      </c>
      <c r="J103" s="195">
        <v>186.01</v>
      </c>
    </row>
    <row r="104" spans="1:10" ht="13.5" customHeight="1" x14ac:dyDescent="0.25">
      <c r="D104" s="29" t="s">
        <v>130</v>
      </c>
      <c r="E104" s="19">
        <f t="shared" si="24"/>
        <v>930</v>
      </c>
      <c r="F104" s="19">
        <f t="shared" si="24"/>
        <v>5</v>
      </c>
      <c r="G104" s="88">
        <f t="shared" ref="G104:G105" si="26">E104/F104</f>
        <v>186</v>
      </c>
      <c r="H104" s="196">
        <f t="shared" si="25"/>
        <v>0</v>
      </c>
      <c r="I104" s="195">
        <v>186</v>
      </c>
      <c r="J104" s="195">
        <v>171.5</v>
      </c>
    </row>
    <row r="105" spans="1:10" ht="13.5" customHeight="1" x14ac:dyDescent="0.25">
      <c r="B105" s="17"/>
      <c r="C105" s="3"/>
      <c r="D105" s="29" t="s">
        <v>223</v>
      </c>
      <c r="E105" s="19">
        <f t="shared" si="24"/>
        <v>861</v>
      </c>
      <c r="F105" s="19">
        <f t="shared" si="24"/>
        <v>5</v>
      </c>
      <c r="G105" s="88">
        <f t="shared" si="26"/>
        <v>172.2</v>
      </c>
      <c r="H105" s="197">
        <f t="shared" si="25"/>
        <v>-1.2300000000000182</v>
      </c>
      <c r="I105" s="195">
        <v>173.43</v>
      </c>
      <c r="J105" s="195">
        <v>167.52</v>
      </c>
    </row>
    <row r="106" spans="1:10" ht="13.5" customHeight="1" x14ac:dyDescent="0.25">
      <c r="B106" s="17"/>
      <c r="C106" s="3"/>
      <c r="D106" s="30" t="s">
        <v>262</v>
      </c>
      <c r="E106" s="19">
        <f t="shared" si="24"/>
        <v>584</v>
      </c>
      <c r="F106" s="19">
        <f t="shared" si="24"/>
        <v>4</v>
      </c>
      <c r="G106" s="88">
        <f t="shared" ref="G106:G108" si="27">E106/F106</f>
        <v>146</v>
      </c>
      <c r="H106" s="197">
        <f t="shared" si="25"/>
        <v>-15.580000000000013</v>
      </c>
      <c r="I106" s="195">
        <v>161.58000000000001</v>
      </c>
      <c r="J106" s="195">
        <v>163.58000000000001</v>
      </c>
    </row>
    <row r="107" spans="1:10" ht="13.5" customHeight="1" x14ac:dyDescent="0.25">
      <c r="B107" s="17"/>
      <c r="C107" s="3"/>
      <c r="D107" s="15" t="s">
        <v>121</v>
      </c>
      <c r="E107" s="19">
        <f t="shared" si="24"/>
        <v>458</v>
      </c>
      <c r="F107" s="19">
        <f t="shared" si="24"/>
        <v>3</v>
      </c>
      <c r="G107" s="88">
        <f t="shared" si="27"/>
        <v>152.66666666666666</v>
      </c>
      <c r="H107" s="197">
        <f t="shared" si="25"/>
        <v>-17.913333333333355</v>
      </c>
      <c r="I107" s="195">
        <v>170.58</v>
      </c>
      <c r="J107" s="195">
        <v>170.39</v>
      </c>
    </row>
    <row r="108" spans="1:10" ht="13.5" customHeight="1" x14ac:dyDescent="0.25">
      <c r="B108" s="17"/>
      <c r="C108" s="3"/>
      <c r="D108" s="30" t="s">
        <v>118</v>
      </c>
      <c r="E108" s="19">
        <f t="shared" si="24"/>
        <v>374</v>
      </c>
      <c r="F108" s="19">
        <f t="shared" si="24"/>
        <v>3</v>
      </c>
      <c r="G108" s="88">
        <f t="shared" si="27"/>
        <v>124.66666666666667</v>
      </c>
      <c r="H108" s="197">
        <f t="shared" si="25"/>
        <v>-38.933333333333323</v>
      </c>
      <c r="I108" s="195">
        <v>163.6</v>
      </c>
      <c r="J108" s="195">
        <v>160.30000000000001</v>
      </c>
    </row>
    <row r="109" spans="1:10" ht="13.5" customHeight="1" x14ac:dyDescent="0.25">
      <c r="A109" s="37"/>
      <c r="B109" s="36"/>
      <c r="C109" s="31"/>
      <c r="D109" s="34"/>
      <c r="E109" s="33"/>
      <c r="F109" s="33"/>
      <c r="G109" s="89"/>
      <c r="H109" s="200"/>
      <c r="I109" s="199"/>
      <c r="J109" s="199"/>
    </row>
    <row r="110" spans="1:10" ht="13.5" customHeight="1" x14ac:dyDescent="0.25">
      <c r="B110" s="75" t="s">
        <v>278</v>
      </c>
      <c r="C110" s="45" t="s">
        <v>108</v>
      </c>
      <c r="D110" s="29" t="s">
        <v>269</v>
      </c>
      <c r="E110" s="19">
        <f t="shared" ref="E110:F116" si="28">E15+E44+E76</f>
        <v>447</v>
      </c>
      <c r="F110" s="19">
        <f t="shared" si="28"/>
        <v>3</v>
      </c>
      <c r="G110" s="88">
        <f t="shared" si="23"/>
        <v>149</v>
      </c>
      <c r="H110" s="197">
        <f t="shared" ref="H110" si="29">G110-I110</f>
        <v>-12.060000000000002</v>
      </c>
      <c r="I110" s="195">
        <v>161.06</v>
      </c>
      <c r="J110" s="195">
        <v>160.76</v>
      </c>
    </row>
    <row r="111" spans="1:10" ht="13.5" customHeight="1" x14ac:dyDescent="0.25">
      <c r="D111" s="110" t="s">
        <v>226</v>
      </c>
      <c r="E111" s="19">
        <f t="shared" si="28"/>
        <v>767</v>
      </c>
      <c r="F111" s="19">
        <f t="shared" si="28"/>
        <v>5</v>
      </c>
      <c r="G111" s="88">
        <f t="shared" si="20"/>
        <v>153.4</v>
      </c>
      <c r="H111" s="197">
        <f>G111-I111</f>
        <v>-13.719999999999999</v>
      </c>
      <c r="I111" s="195">
        <v>167.12</v>
      </c>
      <c r="J111" s="195">
        <v>150.22</v>
      </c>
    </row>
    <row r="112" spans="1:10" ht="13.5" customHeight="1" x14ac:dyDescent="0.25">
      <c r="B112" s="17"/>
      <c r="C112" s="3"/>
      <c r="D112" s="15" t="s">
        <v>267</v>
      </c>
      <c r="E112" s="19">
        <f t="shared" si="28"/>
        <v>0</v>
      </c>
      <c r="F112" s="19">
        <f t="shared" si="28"/>
        <v>0</v>
      </c>
      <c r="G112" s="88" t="e">
        <f t="shared" si="20"/>
        <v>#DIV/0!</v>
      </c>
      <c r="H112" s="197" t="e">
        <f>G112-I112</f>
        <v>#DIV/0!</v>
      </c>
      <c r="I112" s="195"/>
      <c r="J112" s="195">
        <v>161</v>
      </c>
    </row>
    <row r="113" spans="1:10" ht="13.5" customHeight="1" x14ac:dyDescent="0.25">
      <c r="B113" s="17"/>
      <c r="C113" s="3"/>
      <c r="D113" s="15" t="s">
        <v>125</v>
      </c>
      <c r="E113" s="19">
        <f t="shared" si="28"/>
        <v>580</v>
      </c>
      <c r="F113" s="19">
        <f t="shared" si="28"/>
        <v>4</v>
      </c>
      <c r="G113" s="88">
        <f t="shared" si="20"/>
        <v>145</v>
      </c>
      <c r="H113" s="197">
        <f>G113-I113</f>
        <v>-1.25</v>
      </c>
      <c r="I113" s="195">
        <v>146.25</v>
      </c>
      <c r="J113" s="195">
        <v>145.05000000000001</v>
      </c>
    </row>
    <row r="114" spans="1:10" ht="13.5" customHeight="1" x14ac:dyDescent="0.25">
      <c r="B114" s="17"/>
      <c r="C114" s="3"/>
      <c r="D114" s="110" t="s">
        <v>224</v>
      </c>
      <c r="E114" s="19">
        <f t="shared" si="28"/>
        <v>680</v>
      </c>
      <c r="F114" s="19">
        <f t="shared" si="28"/>
        <v>5</v>
      </c>
      <c r="G114" s="88">
        <f t="shared" si="20"/>
        <v>136</v>
      </c>
      <c r="H114" s="196">
        <f t="shared" ref="H114:H116" si="30">G114-I114</f>
        <v>2.6399999999999864</v>
      </c>
      <c r="I114" s="195">
        <v>133.36000000000001</v>
      </c>
      <c r="J114" s="195">
        <v>132.9</v>
      </c>
    </row>
    <row r="115" spans="1:10" ht="13.5" customHeight="1" x14ac:dyDescent="0.25">
      <c r="B115" s="17"/>
      <c r="C115" s="3"/>
      <c r="D115" s="15" t="s">
        <v>263</v>
      </c>
      <c r="E115" s="19">
        <f t="shared" si="28"/>
        <v>510</v>
      </c>
      <c r="F115" s="19">
        <f t="shared" si="28"/>
        <v>4</v>
      </c>
      <c r="G115" s="88">
        <f t="shared" ref="G115" si="31">E115/F115</f>
        <v>127.5</v>
      </c>
      <c r="H115" s="197">
        <f t="shared" ref="H115" si="32">G115-I115</f>
        <v>-13.780000000000001</v>
      </c>
      <c r="I115" s="195">
        <v>141.28</v>
      </c>
      <c r="J115" s="195">
        <v>145.41</v>
      </c>
    </row>
    <row r="116" spans="1:10" ht="13.5" customHeight="1" x14ac:dyDescent="0.25">
      <c r="B116" s="17"/>
      <c r="C116" s="3"/>
      <c r="D116" s="110" t="s">
        <v>622</v>
      </c>
      <c r="E116" s="19">
        <f t="shared" si="28"/>
        <v>463</v>
      </c>
      <c r="F116" s="19">
        <f t="shared" si="28"/>
        <v>4</v>
      </c>
      <c r="G116" s="88">
        <f t="shared" si="20"/>
        <v>115.75</v>
      </c>
      <c r="H116" s="197">
        <f t="shared" si="30"/>
        <v>-3.3100000000000023</v>
      </c>
      <c r="I116" s="195">
        <v>119.06</v>
      </c>
      <c r="J116" s="195">
        <v>119.3</v>
      </c>
    </row>
    <row r="117" spans="1:10" ht="13.5" customHeight="1" x14ac:dyDescent="0.25">
      <c r="B117" s="17"/>
      <c r="C117" s="3"/>
      <c r="D117" s="29"/>
      <c r="E117" s="19"/>
      <c r="F117" s="19"/>
      <c r="G117" s="88"/>
      <c r="H117" s="196"/>
      <c r="I117" s="195"/>
      <c r="J117" s="195"/>
    </row>
    <row r="118" spans="1:10" ht="13.5" customHeight="1" x14ac:dyDescent="0.25">
      <c r="B118" s="17"/>
      <c r="C118" s="3"/>
      <c r="D118" s="29"/>
      <c r="E118" s="19"/>
      <c r="F118" s="19"/>
      <c r="G118" s="88"/>
      <c r="H118" s="197"/>
      <c r="I118" s="195"/>
      <c r="J118" s="195"/>
    </row>
    <row r="119" spans="1:10" ht="13.5" customHeight="1" x14ac:dyDescent="0.25">
      <c r="A119" s="37"/>
      <c r="B119" s="36"/>
      <c r="C119" s="31"/>
      <c r="D119" s="191"/>
      <c r="E119" s="33"/>
      <c r="F119" s="33"/>
      <c r="G119" s="89"/>
      <c r="H119" s="201"/>
      <c r="I119" s="198"/>
      <c r="J119" s="199"/>
    </row>
    <row r="120" spans="1:10" ht="13.5" customHeight="1" x14ac:dyDescent="0.25">
      <c r="B120" s="76" t="s">
        <v>222</v>
      </c>
      <c r="C120" s="3" t="s">
        <v>136</v>
      </c>
      <c r="D120" s="30" t="s">
        <v>117</v>
      </c>
      <c r="E120" s="19">
        <f t="shared" ref="E120:F122" si="33">E23+E54+E86</f>
        <v>1074</v>
      </c>
      <c r="F120" s="19">
        <f t="shared" si="33"/>
        <v>7</v>
      </c>
      <c r="G120" s="88">
        <f t="shared" si="20"/>
        <v>153.42857142857142</v>
      </c>
      <c r="H120" s="197">
        <f t="shared" ref="H120:H127" si="34">G120-I120</f>
        <v>-2.2514285714285904</v>
      </c>
      <c r="I120" s="195">
        <v>155.68</v>
      </c>
      <c r="J120" s="195">
        <v>154.97</v>
      </c>
    </row>
    <row r="121" spans="1:10" ht="13.5" customHeight="1" x14ac:dyDescent="0.25">
      <c r="B121" s="17"/>
      <c r="C121" s="3"/>
      <c r="D121" s="15" t="s">
        <v>178</v>
      </c>
      <c r="E121" s="19">
        <f t="shared" si="33"/>
        <v>1005</v>
      </c>
      <c r="F121" s="19">
        <f t="shared" si="33"/>
        <v>7</v>
      </c>
      <c r="G121" s="88">
        <f t="shared" ref="G121:G124" si="35">E121/F121</f>
        <v>143.57142857142858</v>
      </c>
      <c r="H121" s="197">
        <f t="shared" si="34"/>
        <v>-10.148571428571415</v>
      </c>
      <c r="I121" s="195">
        <v>153.72</v>
      </c>
      <c r="J121" s="195">
        <v>154.66999999999999</v>
      </c>
    </row>
    <row r="122" spans="1:10" ht="13.5" customHeight="1" x14ac:dyDescent="0.25">
      <c r="B122" s="17"/>
      <c r="C122" s="3"/>
      <c r="D122" s="29" t="s">
        <v>129</v>
      </c>
      <c r="E122" s="19">
        <f t="shared" si="33"/>
        <v>1005</v>
      </c>
      <c r="F122" s="19">
        <f t="shared" si="33"/>
        <v>7</v>
      </c>
      <c r="G122" s="88">
        <f t="shared" si="35"/>
        <v>143.57142857142858</v>
      </c>
      <c r="H122" s="196">
        <f t="shared" si="34"/>
        <v>0.10142857142858475</v>
      </c>
      <c r="I122" s="195">
        <v>143.47</v>
      </c>
      <c r="J122" s="195">
        <v>147.66999999999999</v>
      </c>
    </row>
    <row r="123" spans="1:10" ht="13.5" customHeight="1" x14ac:dyDescent="0.25">
      <c r="A123" s="37"/>
      <c r="B123" s="36"/>
      <c r="C123" s="31"/>
      <c r="D123" s="34" t="s">
        <v>123</v>
      </c>
      <c r="E123" s="33"/>
      <c r="F123" s="33"/>
      <c r="G123" s="89"/>
      <c r="H123" s="201"/>
      <c r="I123" s="199"/>
      <c r="J123" s="199"/>
    </row>
    <row r="124" spans="1:10" ht="13.5" customHeight="1" x14ac:dyDescent="0.25">
      <c r="B124" s="76" t="s">
        <v>340</v>
      </c>
      <c r="C124" s="3" t="s">
        <v>136</v>
      </c>
      <c r="D124" s="15" t="s">
        <v>297</v>
      </c>
      <c r="E124" s="19">
        <f>E27+E58+E90</f>
        <v>724</v>
      </c>
      <c r="F124" s="19">
        <f>F27+F58+F90</f>
        <v>5</v>
      </c>
      <c r="G124" s="88">
        <f t="shared" si="35"/>
        <v>144.80000000000001</v>
      </c>
      <c r="H124" s="197">
        <f t="shared" si="34"/>
        <v>-2.0199999999999818</v>
      </c>
      <c r="I124" s="195">
        <v>146.82</v>
      </c>
      <c r="J124" s="195">
        <v>147.36000000000001</v>
      </c>
    </row>
    <row r="125" spans="1:10" ht="13.5" customHeight="1" x14ac:dyDescent="0.25">
      <c r="B125" s="17"/>
      <c r="C125" s="3"/>
      <c r="D125" s="15" t="s">
        <v>268</v>
      </c>
      <c r="E125" s="19">
        <f>E28+E60</f>
        <v>862</v>
      </c>
      <c r="F125" s="19">
        <f>F28+F60</f>
        <v>6</v>
      </c>
      <c r="G125" s="88">
        <f t="shared" ref="G125:G126" si="36">E125/F125</f>
        <v>143.66666666666666</v>
      </c>
      <c r="H125" s="196">
        <f t="shared" si="34"/>
        <v>1.0266666666666708</v>
      </c>
      <c r="I125" s="123">
        <v>142.63999999999999</v>
      </c>
      <c r="J125" s="195">
        <v>136.97999999999999</v>
      </c>
    </row>
    <row r="126" spans="1:10" ht="13.5" customHeight="1" x14ac:dyDescent="0.25">
      <c r="B126" s="17"/>
      <c r="C126" s="3"/>
      <c r="D126" s="15" t="s">
        <v>217</v>
      </c>
      <c r="E126" s="19">
        <f>E29+E61+E92</f>
        <v>844</v>
      </c>
      <c r="F126" s="19">
        <f>F29+F61+F92</f>
        <v>6</v>
      </c>
      <c r="G126" s="88">
        <f t="shared" si="36"/>
        <v>140.66666666666666</v>
      </c>
      <c r="H126" s="196">
        <f t="shared" si="34"/>
        <v>6.9966666666666697</v>
      </c>
      <c r="I126" s="123">
        <v>133.66999999999999</v>
      </c>
      <c r="J126" s="195">
        <v>138.82</v>
      </c>
    </row>
    <row r="127" spans="1:10" ht="13.5" customHeight="1" x14ac:dyDescent="0.25">
      <c r="B127" s="17"/>
      <c r="C127" s="3"/>
      <c r="D127" s="15" t="s">
        <v>179</v>
      </c>
      <c r="E127" s="19">
        <f>E30+E62+E93</f>
        <v>526</v>
      </c>
      <c r="F127" s="19">
        <f>F30+F62+F93</f>
        <v>4</v>
      </c>
      <c r="G127" s="88">
        <f t="shared" ref="G127" si="37">E127/F127</f>
        <v>131.5</v>
      </c>
      <c r="H127" s="196">
        <f t="shared" si="34"/>
        <v>1.5</v>
      </c>
      <c r="I127" s="195">
        <v>130</v>
      </c>
      <c r="J127" s="195">
        <v>132.1</v>
      </c>
    </row>
    <row r="128" spans="1:10" ht="13.5" customHeight="1" x14ac:dyDescent="0.25">
      <c r="A128" s="37"/>
      <c r="B128" s="36"/>
      <c r="C128" s="31"/>
      <c r="D128" s="161"/>
      <c r="E128" s="33"/>
      <c r="F128" s="33"/>
      <c r="G128" s="89"/>
      <c r="H128" s="200"/>
      <c r="I128" s="199"/>
      <c r="J128" s="199"/>
    </row>
    <row r="129" spans="4:4" x14ac:dyDescent="0.25">
      <c r="D129" s="14"/>
    </row>
    <row r="130" spans="4:4" x14ac:dyDescent="0.25">
      <c r="D130" s="14"/>
    </row>
    <row r="131" spans="4:4" x14ac:dyDescent="0.25">
      <c r="D131" s="29"/>
    </row>
    <row r="133" spans="4:4" x14ac:dyDescent="0.25">
      <c r="D133" s="15"/>
    </row>
    <row r="134" spans="4:4" x14ac:dyDescent="0.25">
      <c r="D134" s="29"/>
    </row>
    <row r="135" spans="4:4" x14ac:dyDescent="0.25">
      <c r="D135" s="14"/>
    </row>
    <row r="136" spans="4:4" x14ac:dyDescent="0.25">
      <c r="D136" s="14"/>
    </row>
    <row r="137" spans="4:4" x14ac:dyDescent="0.25">
      <c r="D137" s="14"/>
    </row>
    <row r="138" spans="4:4" x14ac:dyDescent="0.25">
      <c r="D138" s="15"/>
    </row>
    <row r="139" spans="4:4" x14ac:dyDescent="0.25">
      <c r="D139" s="15"/>
    </row>
    <row r="140" spans="4:4" x14ac:dyDescent="0.25">
      <c r="D140" s="14"/>
    </row>
    <row r="141" spans="4:4" x14ac:dyDescent="0.25">
      <c r="D141" s="15"/>
    </row>
    <row r="143" spans="4:4" x14ac:dyDescent="0.25">
      <c r="D143" s="15"/>
    </row>
    <row r="144" spans="4:4" x14ac:dyDescent="0.25">
      <c r="D144" s="14"/>
    </row>
    <row r="145" spans="4:4" x14ac:dyDescent="0.25">
      <c r="D145" s="15"/>
    </row>
    <row r="146" spans="4:4" x14ac:dyDescent="0.25">
      <c r="D146" s="14"/>
    </row>
  </sheetData>
  <phoneticPr fontId="28" type="noConversion"/>
  <pageMargins left="0.7" right="0.7" top="0.75" bottom="0.75" header="0.3" footer="0.3"/>
  <pageSetup paperSize="9" scale="3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69"/>
  <sheetViews>
    <sheetView workbookViewId="0">
      <pane xSplit="3" ySplit="1" topLeftCell="D2" activePane="bottomRight" state="frozen"/>
      <selection pane="topRight" activeCell="H1" sqref="H1"/>
      <selection pane="bottomLeft" activeCell="A2" sqref="A2"/>
      <selection pane="bottomRight" activeCell="L12" sqref="L12"/>
    </sheetView>
  </sheetViews>
  <sheetFormatPr baseColWidth="10" defaultColWidth="9.109375" defaultRowHeight="13.2" x14ac:dyDescent="0.25"/>
  <cols>
    <col min="1" max="1" width="3.88671875" style="123" customWidth="1"/>
    <col min="2" max="2" width="30" style="8" customWidth="1"/>
    <col min="3" max="3" width="8.6640625" style="8" customWidth="1"/>
    <col min="4" max="4" width="4.6640625" style="8" customWidth="1"/>
    <col min="5" max="5" width="9" style="8" bestFit="1" customWidth="1"/>
    <col min="6" max="6" width="8" style="8" bestFit="1" customWidth="1"/>
    <col min="7" max="7" width="11.109375" bestFit="1" customWidth="1"/>
    <col min="8" max="8" width="9.33203125" style="8" bestFit="1" customWidth="1"/>
    <col min="9" max="9" width="2.77734375" customWidth="1"/>
    <col min="10" max="10" width="10.33203125" customWidth="1"/>
    <col min="11" max="11" width="9.44140625" customWidth="1"/>
  </cols>
  <sheetData>
    <row r="1" spans="1:11" s="7" customFormat="1" ht="45.6" customHeight="1" x14ac:dyDescent="0.25">
      <c r="A1" s="124"/>
      <c r="B1" s="59" t="s">
        <v>158</v>
      </c>
      <c r="C1" s="56" t="s">
        <v>23</v>
      </c>
      <c r="D1" s="63" t="s">
        <v>36</v>
      </c>
      <c r="E1" s="64" t="s">
        <v>37</v>
      </c>
      <c r="F1" s="65" t="s">
        <v>38</v>
      </c>
      <c r="G1" s="66" t="s">
        <v>39</v>
      </c>
      <c r="H1" s="67" t="s">
        <v>100</v>
      </c>
      <c r="I1" s="25"/>
      <c r="J1" s="66" t="s">
        <v>101</v>
      </c>
      <c r="K1" s="67" t="s">
        <v>100</v>
      </c>
    </row>
    <row r="2" spans="1:11" ht="15.6" x14ac:dyDescent="0.3">
      <c r="A2" s="19">
        <v>1</v>
      </c>
      <c r="B2" s="60" t="s">
        <v>120</v>
      </c>
      <c r="C2" s="171" t="s">
        <v>169</v>
      </c>
      <c r="D2" s="87" t="s">
        <v>42</v>
      </c>
      <c r="E2" s="58">
        <v>22521</v>
      </c>
      <c r="F2" s="57">
        <v>117</v>
      </c>
      <c r="G2" s="69">
        <f t="shared" ref="G2:G36" si="0">SUM(E2/F2)</f>
        <v>192.48717948717947</v>
      </c>
      <c r="H2" s="72">
        <f>ROUNDDOWN((220-G2)*70%,0)</f>
        <v>19</v>
      </c>
      <c r="I2" s="70"/>
      <c r="J2" s="91"/>
      <c r="K2" s="71"/>
    </row>
    <row r="3" spans="1:11" ht="15.6" x14ac:dyDescent="0.3">
      <c r="A3" s="123">
        <v>2</v>
      </c>
      <c r="B3" s="159" t="s">
        <v>230</v>
      </c>
      <c r="C3" s="171" t="s">
        <v>127</v>
      </c>
      <c r="D3" s="87" t="s">
        <v>42</v>
      </c>
      <c r="E3" s="58">
        <v>26042</v>
      </c>
      <c r="F3" s="57">
        <v>140</v>
      </c>
      <c r="G3" s="69">
        <f t="shared" si="0"/>
        <v>186.01428571428571</v>
      </c>
      <c r="H3" s="72">
        <f>ROUNDDOWN((220-G3)*70%,0)</f>
        <v>23</v>
      </c>
      <c r="I3" s="70"/>
      <c r="J3" s="91"/>
      <c r="K3" s="71"/>
    </row>
    <row r="4" spans="1:11" ht="15.6" x14ac:dyDescent="0.3">
      <c r="A4" s="123">
        <v>3</v>
      </c>
      <c r="B4" s="60" t="s">
        <v>296</v>
      </c>
      <c r="C4" s="171" t="s">
        <v>167</v>
      </c>
      <c r="D4" s="87" t="s">
        <v>42</v>
      </c>
      <c r="E4" s="58">
        <v>23658</v>
      </c>
      <c r="F4" s="57">
        <v>130</v>
      </c>
      <c r="G4" s="69">
        <f t="shared" si="0"/>
        <v>181.98461538461538</v>
      </c>
      <c r="H4" s="72">
        <f>(220-G4)*70%</f>
        <v>26.610769230769233</v>
      </c>
      <c r="I4" s="70"/>
      <c r="J4" s="91"/>
      <c r="K4" s="71"/>
    </row>
    <row r="5" spans="1:11" ht="15.6" x14ac:dyDescent="0.3">
      <c r="A5" s="123">
        <v>4</v>
      </c>
      <c r="B5" s="62" t="s">
        <v>122</v>
      </c>
      <c r="C5" s="171" t="s">
        <v>221</v>
      </c>
      <c r="D5" s="87" t="s">
        <v>42</v>
      </c>
      <c r="E5" s="58">
        <v>11869</v>
      </c>
      <c r="F5" s="58">
        <v>67</v>
      </c>
      <c r="G5" s="69">
        <f t="shared" si="0"/>
        <v>177.14925373134329</v>
      </c>
      <c r="H5" s="72">
        <f>(220-G5)*70%</f>
        <v>29.995522388059694</v>
      </c>
      <c r="I5" s="70"/>
      <c r="J5" s="93"/>
      <c r="K5" s="74"/>
    </row>
    <row r="6" spans="1:11" ht="15.6" x14ac:dyDescent="0.3">
      <c r="A6" s="123">
        <v>5</v>
      </c>
      <c r="B6" s="60" t="s">
        <v>267</v>
      </c>
      <c r="C6" s="171" t="s">
        <v>167</v>
      </c>
      <c r="D6" s="87" t="s">
        <v>42</v>
      </c>
      <c r="E6" s="58">
        <v>2831</v>
      </c>
      <c r="F6" s="68">
        <v>16</v>
      </c>
      <c r="G6" s="127">
        <f t="shared" si="0"/>
        <v>176.9375</v>
      </c>
      <c r="H6" s="73">
        <f>ROUNDDOWN((220-G6)*70%,0)</f>
        <v>30</v>
      </c>
      <c r="I6" s="70"/>
      <c r="J6" s="91">
        <v>161</v>
      </c>
      <c r="K6" s="71">
        <v>41</v>
      </c>
    </row>
    <row r="7" spans="1:11" ht="15.6" x14ac:dyDescent="0.3">
      <c r="A7" s="123">
        <v>6</v>
      </c>
      <c r="B7" s="60" t="s">
        <v>130</v>
      </c>
      <c r="C7" s="171" t="s">
        <v>169</v>
      </c>
      <c r="D7" s="87" t="s">
        <v>42</v>
      </c>
      <c r="E7" s="58">
        <v>1715</v>
      </c>
      <c r="F7" s="68">
        <v>10</v>
      </c>
      <c r="G7" s="127">
        <f t="shared" si="0"/>
        <v>171.5</v>
      </c>
      <c r="H7" s="73">
        <f>(220-G7)*70%</f>
        <v>33.949999999999996</v>
      </c>
      <c r="I7" s="70"/>
      <c r="J7" s="91">
        <v>168</v>
      </c>
      <c r="K7" s="71">
        <v>36</v>
      </c>
    </row>
    <row r="8" spans="1:11" ht="15.6" x14ac:dyDescent="0.3">
      <c r="A8" s="123">
        <v>7</v>
      </c>
      <c r="B8" s="61" t="s">
        <v>219</v>
      </c>
      <c r="C8" s="171" t="s">
        <v>168</v>
      </c>
      <c r="D8" s="87" t="s">
        <v>42</v>
      </c>
      <c r="E8" s="58">
        <v>19136</v>
      </c>
      <c r="F8" s="57">
        <v>112</v>
      </c>
      <c r="G8" s="69">
        <f t="shared" si="0"/>
        <v>170.85714285714286</v>
      </c>
      <c r="H8" s="72">
        <f>(220-G8)*70%+1</f>
        <v>35.399999999999991</v>
      </c>
      <c r="I8" s="70"/>
      <c r="J8" s="91"/>
      <c r="K8" s="71"/>
    </row>
    <row r="9" spans="1:11" s="28" customFormat="1" ht="15.6" x14ac:dyDescent="0.3">
      <c r="A9" s="123">
        <v>8</v>
      </c>
      <c r="B9" s="60" t="s">
        <v>409</v>
      </c>
      <c r="C9" s="171" t="s">
        <v>168</v>
      </c>
      <c r="D9" s="87" t="s">
        <v>42</v>
      </c>
      <c r="E9" s="58">
        <v>2045</v>
      </c>
      <c r="F9" s="68">
        <v>12</v>
      </c>
      <c r="G9" s="127">
        <f t="shared" si="0"/>
        <v>170.41666666666666</v>
      </c>
      <c r="H9" s="73">
        <f>(220-G9)*70%</f>
        <v>34.708333333333336</v>
      </c>
      <c r="I9" s="70"/>
      <c r="J9" s="91">
        <v>160</v>
      </c>
      <c r="K9" s="71">
        <v>42</v>
      </c>
    </row>
    <row r="10" spans="1:11" ht="17.25" customHeight="1" x14ac:dyDescent="0.3">
      <c r="A10" s="123">
        <v>9</v>
      </c>
      <c r="B10" s="60" t="s">
        <v>121</v>
      </c>
      <c r="C10" s="171" t="s">
        <v>169</v>
      </c>
      <c r="D10" s="87" t="s">
        <v>42</v>
      </c>
      <c r="E10" s="58">
        <v>17550</v>
      </c>
      <c r="F10" s="57">
        <v>103</v>
      </c>
      <c r="G10" s="69">
        <f t="shared" si="0"/>
        <v>170.38834951456312</v>
      </c>
      <c r="H10" s="72">
        <f>(220-G10)*70%</f>
        <v>34.728155339805816</v>
      </c>
      <c r="I10" s="70"/>
      <c r="J10" s="91"/>
      <c r="K10" s="71"/>
    </row>
    <row r="11" spans="1:11" ht="17.25" customHeight="1" x14ac:dyDescent="0.3">
      <c r="A11" s="123">
        <v>10</v>
      </c>
      <c r="B11" s="60" t="s">
        <v>223</v>
      </c>
      <c r="C11" s="171" t="s">
        <v>168</v>
      </c>
      <c r="D11" s="87" t="s">
        <v>42</v>
      </c>
      <c r="E11" s="58">
        <v>4858</v>
      </c>
      <c r="F11" s="57">
        <v>29</v>
      </c>
      <c r="G11" s="69">
        <f t="shared" si="0"/>
        <v>167.51724137931035</v>
      </c>
      <c r="H11" s="72">
        <f>(220-G11)*70%</f>
        <v>36.737931034482756</v>
      </c>
      <c r="I11" s="70"/>
      <c r="J11" s="91"/>
      <c r="K11" s="71"/>
    </row>
    <row r="12" spans="1:11" ht="15.6" x14ac:dyDescent="0.3">
      <c r="A12" s="123">
        <v>11</v>
      </c>
      <c r="B12" s="62" t="s">
        <v>114</v>
      </c>
      <c r="C12" s="171" t="s">
        <v>167</v>
      </c>
      <c r="D12" s="87" t="s">
        <v>42</v>
      </c>
      <c r="E12" s="58">
        <v>18342</v>
      </c>
      <c r="F12" s="58">
        <v>110</v>
      </c>
      <c r="G12" s="69">
        <f t="shared" si="0"/>
        <v>166.74545454545455</v>
      </c>
      <c r="H12" s="72">
        <f>(220-G12)*70%</f>
        <v>37.278181818181814</v>
      </c>
      <c r="I12" s="70"/>
      <c r="J12" s="92"/>
      <c r="K12" s="71"/>
    </row>
    <row r="13" spans="1:11" ht="15.6" x14ac:dyDescent="0.3">
      <c r="A13" s="123">
        <v>12</v>
      </c>
      <c r="B13" s="60" t="s">
        <v>262</v>
      </c>
      <c r="C13" s="171" t="s">
        <v>169</v>
      </c>
      <c r="D13" s="87" t="s">
        <v>42</v>
      </c>
      <c r="E13" s="58">
        <v>12596</v>
      </c>
      <c r="F13" s="57">
        <v>77</v>
      </c>
      <c r="G13" s="69">
        <f t="shared" si="0"/>
        <v>163.58441558441558</v>
      </c>
      <c r="H13" s="72">
        <f>(220-G13)*70%</f>
        <v>39.490909090909092</v>
      </c>
      <c r="I13" s="70"/>
      <c r="J13" s="91"/>
      <c r="K13" s="71"/>
    </row>
    <row r="14" spans="1:11" s="84" customFormat="1" ht="15.6" x14ac:dyDescent="0.3">
      <c r="A14" s="123">
        <v>13</v>
      </c>
      <c r="B14" s="60" t="s">
        <v>269</v>
      </c>
      <c r="C14" s="171" t="s">
        <v>167</v>
      </c>
      <c r="D14" s="87" t="s">
        <v>42</v>
      </c>
      <c r="E14" s="58">
        <v>13504</v>
      </c>
      <c r="F14" s="57">
        <v>84</v>
      </c>
      <c r="G14" s="69">
        <f t="shared" si="0"/>
        <v>160.76190476190476</v>
      </c>
      <c r="H14" s="72">
        <f>(220-G14)*70%+1</f>
        <v>42.466666666666669</v>
      </c>
      <c r="I14" s="70"/>
      <c r="J14" s="91"/>
      <c r="K14" s="71"/>
    </row>
    <row r="15" spans="1:11" s="84" customFormat="1" ht="15.6" x14ac:dyDescent="0.3">
      <c r="A15" s="123">
        <v>14</v>
      </c>
      <c r="B15" s="60" t="s">
        <v>124</v>
      </c>
      <c r="C15" s="171" t="s">
        <v>168</v>
      </c>
      <c r="D15" s="87" t="s">
        <v>42</v>
      </c>
      <c r="E15" s="58">
        <v>5624</v>
      </c>
      <c r="F15" s="57">
        <v>35</v>
      </c>
      <c r="G15" s="69">
        <f t="shared" si="0"/>
        <v>160.68571428571428</v>
      </c>
      <c r="H15" s="72">
        <f>(220-G15)*70%</f>
        <v>41.519999999999996</v>
      </c>
      <c r="I15" s="70"/>
      <c r="J15" s="91"/>
      <c r="K15" s="71"/>
    </row>
    <row r="16" spans="1:11" s="28" customFormat="1" ht="15.6" x14ac:dyDescent="0.3">
      <c r="A16" s="123">
        <v>15</v>
      </c>
      <c r="B16" s="62" t="s">
        <v>118</v>
      </c>
      <c r="C16" s="171" t="s">
        <v>167</v>
      </c>
      <c r="D16" s="87" t="s">
        <v>42</v>
      </c>
      <c r="E16" s="57">
        <v>16992</v>
      </c>
      <c r="F16" s="57">
        <v>106</v>
      </c>
      <c r="G16" s="69">
        <f t="shared" si="0"/>
        <v>160.30188679245282</v>
      </c>
      <c r="H16" s="72">
        <f>(220-G16)*70%</f>
        <v>41.788679245283021</v>
      </c>
      <c r="I16" s="80"/>
      <c r="J16" s="92"/>
      <c r="K16" s="71"/>
    </row>
    <row r="17" spans="1:11" s="28" customFormat="1" ht="15.6" x14ac:dyDescent="0.3">
      <c r="A17" s="123">
        <v>16</v>
      </c>
      <c r="B17" s="60" t="s">
        <v>126</v>
      </c>
      <c r="C17" s="171" t="s">
        <v>168</v>
      </c>
      <c r="D17" s="87" t="s">
        <v>42</v>
      </c>
      <c r="E17" s="58">
        <v>2070</v>
      </c>
      <c r="F17" s="68">
        <v>13</v>
      </c>
      <c r="G17" s="127">
        <f t="shared" si="0"/>
        <v>159.23076923076923</v>
      </c>
      <c r="H17" s="73">
        <f>(220-G17)*70%</f>
        <v>42.53846153846154</v>
      </c>
      <c r="I17" s="70"/>
      <c r="J17" s="91">
        <v>160</v>
      </c>
      <c r="K17" s="71">
        <v>42</v>
      </c>
    </row>
    <row r="18" spans="1:11" s="77" customFormat="1" ht="15.6" x14ac:dyDescent="0.3">
      <c r="A18" s="123">
        <v>17</v>
      </c>
      <c r="B18" s="114" t="s">
        <v>117</v>
      </c>
      <c r="C18" s="171" t="s">
        <v>168</v>
      </c>
      <c r="D18" s="86" t="s">
        <v>15</v>
      </c>
      <c r="E18" s="58">
        <v>15652</v>
      </c>
      <c r="F18" s="57">
        <v>101</v>
      </c>
      <c r="G18" s="69">
        <f t="shared" si="0"/>
        <v>154.97029702970298</v>
      </c>
      <c r="H18" s="72">
        <f>(220-G18)*70%</f>
        <v>45.520792079207915</v>
      </c>
      <c r="I18" s="70"/>
      <c r="J18" s="91"/>
      <c r="K18" s="71"/>
    </row>
    <row r="19" spans="1:11" s="77" customFormat="1" ht="15.6" x14ac:dyDescent="0.3">
      <c r="A19" s="123">
        <v>18</v>
      </c>
      <c r="B19" s="125" t="s">
        <v>218</v>
      </c>
      <c r="C19" s="171" t="s">
        <v>167</v>
      </c>
      <c r="D19" s="86" t="s">
        <v>15</v>
      </c>
      <c r="E19" s="58">
        <v>24438</v>
      </c>
      <c r="F19" s="57">
        <v>158</v>
      </c>
      <c r="G19" s="69">
        <f t="shared" si="0"/>
        <v>154.67088607594937</v>
      </c>
      <c r="H19" s="72">
        <f>(220-G19)*70%</f>
        <v>45.730379746835439</v>
      </c>
      <c r="I19" s="70"/>
      <c r="J19" s="91"/>
      <c r="K19" s="71"/>
    </row>
    <row r="20" spans="1:11" s="77" customFormat="1" ht="15.6" x14ac:dyDescent="0.3">
      <c r="A20" s="123">
        <v>19</v>
      </c>
      <c r="B20" s="208" t="s">
        <v>325</v>
      </c>
      <c r="C20" s="171" t="s">
        <v>127</v>
      </c>
      <c r="D20" s="86" t="s">
        <v>15</v>
      </c>
      <c r="E20" s="58">
        <v>919</v>
      </c>
      <c r="F20" s="68">
        <v>6</v>
      </c>
      <c r="G20" s="127">
        <f t="shared" si="0"/>
        <v>153.16666666666666</v>
      </c>
      <c r="H20" s="73">
        <f>ROUNDDOWN((220-G20)*70%,0)</f>
        <v>46</v>
      </c>
      <c r="I20" s="70"/>
      <c r="J20" s="91">
        <v>172</v>
      </c>
      <c r="K20" s="71">
        <v>33</v>
      </c>
    </row>
    <row r="21" spans="1:11" ht="15.6" x14ac:dyDescent="0.3">
      <c r="A21" s="123">
        <v>20</v>
      </c>
      <c r="B21" s="125" t="s">
        <v>411</v>
      </c>
      <c r="C21" s="71" t="s">
        <v>167</v>
      </c>
      <c r="D21" s="86" t="s">
        <v>15</v>
      </c>
      <c r="E21" s="58">
        <v>8908</v>
      </c>
      <c r="F21" s="57">
        <v>59</v>
      </c>
      <c r="G21" s="69">
        <f t="shared" si="0"/>
        <v>150.98305084745763</v>
      </c>
      <c r="H21" s="72">
        <f>(220-G21)*70%+1</f>
        <v>49.311864406779655</v>
      </c>
      <c r="I21" s="70"/>
      <c r="J21" s="91"/>
      <c r="K21" s="71"/>
    </row>
    <row r="22" spans="1:11" ht="15.6" x14ac:dyDescent="0.3">
      <c r="A22" s="45">
        <v>21</v>
      </c>
      <c r="B22" s="159" t="s">
        <v>226</v>
      </c>
      <c r="C22" s="171" t="s">
        <v>225</v>
      </c>
      <c r="D22" s="87" t="s">
        <v>42</v>
      </c>
      <c r="E22" s="58">
        <v>7511</v>
      </c>
      <c r="F22" s="57">
        <v>50</v>
      </c>
      <c r="G22" s="69">
        <f t="shared" si="0"/>
        <v>150.22</v>
      </c>
      <c r="H22" s="72">
        <f t="shared" ref="H22:H29" si="1">(220-G22)*70%</f>
        <v>48.845999999999997</v>
      </c>
      <c r="I22" s="70"/>
      <c r="J22" s="91"/>
      <c r="K22" s="71"/>
    </row>
    <row r="23" spans="1:11" ht="15.6" x14ac:dyDescent="0.3">
      <c r="A23" s="123">
        <v>22</v>
      </c>
      <c r="B23" s="115" t="s">
        <v>123</v>
      </c>
      <c r="C23" s="171" t="s">
        <v>167</v>
      </c>
      <c r="D23" s="86" t="s">
        <v>15</v>
      </c>
      <c r="E23" s="58">
        <v>4287</v>
      </c>
      <c r="F23" s="57">
        <v>29</v>
      </c>
      <c r="G23" s="69">
        <f t="shared" si="0"/>
        <v>147.82758620689654</v>
      </c>
      <c r="H23" s="72">
        <f t="shared" si="1"/>
        <v>50.520689655172418</v>
      </c>
      <c r="I23" s="70"/>
      <c r="J23" s="91"/>
      <c r="K23" s="71"/>
    </row>
    <row r="24" spans="1:11" ht="15.6" x14ac:dyDescent="0.3">
      <c r="A24" s="123">
        <v>23</v>
      </c>
      <c r="B24" s="115" t="s">
        <v>129</v>
      </c>
      <c r="C24" s="171" t="s">
        <v>168</v>
      </c>
      <c r="D24" s="86" t="s">
        <v>15</v>
      </c>
      <c r="E24" s="58">
        <v>6793</v>
      </c>
      <c r="F24" s="57">
        <v>46</v>
      </c>
      <c r="G24" s="69">
        <f t="shared" si="0"/>
        <v>147.67391304347825</v>
      </c>
      <c r="H24" s="72">
        <f t="shared" si="1"/>
        <v>50.628260869565224</v>
      </c>
      <c r="I24" s="70"/>
      <c r="J24" s="91"/>
      <c r="K24" s="71"/>
    </row>
    <row r="25" spans="1:11" ht="15.6" x14ac:dyDescent="0.3">
      <c r="A25" s="123">
        <v>24</v>
      </c>
      <c r="B25" s="115" t="s">
        <v>297</v>
      </c>
      <c r="C25" s="171" t="s">
        <v>221</v>
      </c>
      <c r="D25" s="86" t="s">
        <v>15</v>
      </c>
      <c r="E25" s="58">
        <v>6631</v>
      </c>
      <c r="F25" s="57">
        <v>45</v>
      </c>
      <c r="G25" s="69">
        <f t="shared" si="0"/>
        <v>147.35555555555555</v>
      </c>
      <c r="H25" s="72">
        <f t="shared" si="1"/>
        <v>50.851111111111109</v>
      </c>
      <c r="I25" s="70"/>
      <c r="J25" s="91"/>
      <c r="K25" s="71"/>
    </row>
    <row r="26" spans="1:11" s="84" customFormat="1" ht="15.6" x14ac:dyDescent="0.3">
      <c r="A26" s="123">
        <v>25</v>
      </c>
      <c r="B26" s="61" t="s">
        <v>263</v>
      </c>
      <c r="C26" s="171" t="s">
        <v>167</v>
      </c>
      <c r="D26" s="87" t="s">
        <v>42</v>
      </c>
      <c r="E26" s="58">
        <v>12505</v>
      </c>
      <c r="F26" s="57">
        <v>86</v>
      </c>
      <c r="G26" s="69">
        <f t="shared" si="0"/>
        <v>145.40697674418604</v>
      </c>
      <c r="H26" s="72">
        <f t="shared" si="1"/>
        <v>52.215116279069768</v>
      </c>
      <c r="I26" s="70"/>
      <c r="J26" s="91"/>
      <c r="K26" s="71"/>
    </row>
    <row r="27" spans="1:11" s="77" customFormat="1" ht="15.6" x14ac:dyDescent="0.3">
      <c r="A27" s="123">
        <v>26</v>
      </c>
      <c r="B27" s="60" t="s">
        <v>125</v>
      </c>
      <c r="C27" s="171" t="s">
        <v>167</v>
      </c>
      <c r="D27" s="87" t="s">
        <v>42</v>
      </c>
      <c r="E27" s="58">
        <v>2901</v>
      </c>
      <c r="F27" s="68">
        <v>20</v>
      </c>
      <c r="G27" s="127">
        <f t="shared" si="0"/>
        <v>145.05000000000001</v>
      </c>
      <c r="H27" s="73">
        <f t="shared" si="1"/>
        <v>52.464999999999989</v>
      </c>
      <c r="I27" s="70"/>
      <c r="J27" s="91">
        <v>142</v>
      </c>
      <c r="K27" s="71">
        <v>54</v>
      </c>
    </row>
    <row r="28" spans="1:11" ht="15.6" x14ac:dyDescent="0.3">
      <c r="A28" s="123">
        <v>27</v>
      </c>
      <c r="B28" s="60" t="s">
        <v>132</v>
      </c>
      <c r="C28" s="171" t="s">
        <v>168</v>
      </c>
      <c r="D28" s="87" t="s">
        <v>42</v>
      </c>
      <c r="E28" s="58">
        <v>1262</v>
      </c>
      <c r="F28" s="68">
        <v>9</v>
      </c>
      <c r="G28" s="127">
        <f t="shared" si="0"/>
        <v>140.22222222222223</v>
      </c>
      <c r="H28" s="73">
        <f t="shared" si="1"/>
        <v>55.844444444444434</v>
      </c>
      <c r="I28" s="70"/>
      <c r="J28" s="91">
        <v>153</v>
      </c>
      <c r="K28" s="71">
        <v>46</v>
      </c>
    </row>
    <row r="29" spans="1:11" ht="15.6" x14ac:dyDescent="0.3">
      <c r="A29" s="123">
        <v>28</v>
      </c>
      <c r="B29" s="125" t="s">
        <v>217</v>
      </c>
      <c r="C29" s="171" t="s">
        <v>221</v>
      </c>
      <c r="D29" s="86" t="s">
        <v>15</v>
      </c>
      <c r="E29" s="58">
        <v>8607</v>
      </c>
      <c r="F29" s="57">
        <v>62</v>
      </c>
      <c r="G29" s="69">
        <f t="shared" si="0"/>
        <v>138.82258064516128</v>
      </c>
      <c r="H29" s="72">
        <f t="shared" si="1"/>
        <v>56.8241935483871</v>
      </c>
      <c r="I29" s="70"/>
      <c r="J29" s="91"/>
      <c r="K29" s="71"/>
    </row>
    <row r="30" spans="1:11" ht="15.6" x14ac:dyDescent="0.3">
      <c r="A30" s="123">
        <v>29</v>
      </c>
      <c r="B30" s="115" t="s">
        <v>268</v>
      </c>
      <c r="C30" s="71" t="s">
        <v>169</v>
      </c>
      <c r="D30" s="86" t="s">
        <v>15</v>
      </c>
      <c r="E30" s="58">
        <v>8630</v>
      </c>
      <c r="F30" s="57">
        <v>63</v>
      </c>
      <c r="G30" s="69">
        <f t="shared" si="0"/>
        <v>136.98412698412699</v>
      </c>
      <c r="H30" s="72">
        <f>ROUNDDOWN((220-G30)*70%,0)</f>
        <v>58</v>
      </c>
      <c r="I30" s="70"/>
      <c r="J30" s="91"/>
      <c r="K30" s="71"/>
    </row>
    <row r="31" spans="1:11" ht="15.6" x14ac:dyDescent="0.3">
      <c r="A31" s="123">
        <v>30</v>
      </c>
      <c r="B31" s="159" t="s">
        <v>224</v>
      </c>
      <c r="C31" s="171" t="s">
        <v>432</v>
      </c>
      <c r="D31" s="87" t="s">
        <v>42</v>
      </c>
      <c r="E31" s="58">
        <v>4120</v>
      </c>
      <c r="F31" s="57">
        <v>31</v>
      </c>
      <c r="G31" s="69">
        <f t="shared" si="0"/>
        <v>132.90322580645162</v>
      </c>
      <c r="H31" s="72">
        <f>(220-G31)*70%</f>
        <v>60.967741935483865</v>
      </c>
      <c r="I31" s="70"/>
      <c r="J31" s="91"/>
      <c r="K31" s="71"/>
    </row>
    <row r="32" spans="1:11" ht="15.6" x14ac:dyDescent="0.3">
      <c r="A32" s="123">
        <v>31</v>
      </c>
      <c r="B32" s="125" t="s">
        <v>179</v>
      </c>
      <c r="C32" s="171" t="s">
        <v>169</v>
      </c>
      <c r="D32" s="39" t="s">
        <v>15</v>
      </c>
      <c r="E32" s="57">
        <v>5416</v>
      </c>
      <c r="F32" s="57">
        <v>41</v>
      </c>
      <c r="G32" s="69">
        <f t="shared" si="0"/>
        <v>132.09756097560975</v>
      </c>
      <c r="H32" s="72">
        <f>ROUNDDOWN((220-G32)*70%,0)</f>
        <v>61</v>
      </c>
      <c r="I32" s="80"/>
      <c r="J32" s="91"/>
      <c r="K32" s="71"/>
    </row>
    <row r="33" spans="1:11" ht="15.6" x14ac:dyDescent="0.3">
      <c r="A33" s="123">
        <v>32</v>
      </c>
      <c r="B33" s="61" t="s">
        <v>410</v>
      </c>
      <c r="C33" s="71" t="s">
        <v>167</v>
      </c>
      <c r="D33" s="87" t="s">
        <v>42</v>
      </c>
      <c r="E33" s="58">
        <v>3399</v>
      </c>
      <c r="F33" s="57">
        <v>27</v>
      </c>
      <c r="G33" s="69">
        <f t="shared" si="0"/>
        <v>125.88888888888889</v>
      </c>
      <c r="H33" s="72">
        <f>(220-G33)*70%</f>
        <v>65.87777777777778</v>
      </c>
      <c r="I33" s="70"/>
      <c r="J33" s="91"/>
      <c r="K33" s="71"/>
    </row>
    <row r="34" spans="1:11" ht="15.6" x14ac:dyDescent="0.3">
      <c r="A34" s="123">
        <v>33</v>
      </c>
      <c r="B34" s="208" t="s">
        <v>255</v>
      </c>
      <c r="C34" s="171" t="s">
        <v>225</v>
      </c>
      <c r="D34" s="86" t="s">
        <v>15</v>
      </c>
      <c r="E34" s="58">
        <v>3231</v>
      </c>
      <c r="F34" s="57">
        <v>26</v>
      </c>
      <c r="G34" s="69">
        <f t="shared" si="0"/>
        <v>124.26923076923077</v>
      </c>
      <c r="H34" s="72">
        <f>ROUNDDOWN((220-G34)*70%,0)</f>
        <v>67</v>
      </c>
      <c r="I34" s="70"/>
      <c r="J34" s="91"/>
      <c r="K34" s="71"/>
    </row>
    <row r="35" spans="1:11" ht="15.6" x14ac:dyDescent="0.3">
      <c r="A35" s="123">
        <v>34</v>
      </c>
      <c r="B35" s="60" t="s">
        <v>363</v>
      </c>
      <c r="C35" s="171" t="s">
        <v>127</v>
      </c>
      <c r="D35" s="87" t="s">
        <v>42</v>
      </c>
      <c r="E35" s="58">
        <v>1193</v>
      </c>
      <c r="F35" s="68">
        <v>10</v>
      </c>
      <c r="G35" s="127">
        <f t="shared" si="0"/>
        <v>119.3</v>
      </c>
      <c r="H35" s="73">
        <f>(220-G35)*70%</f>
        <v>70.489999999999995</v>
      </c>
      <c r="I35" s="70"/>
      <c r="J35" s="91">
        <v>162</v>
      </c>
      <c r="K35" s="71">
        <v>40</v>
      </c>
    </row>
    <row r="36" spans="1:11" ht="15.6" x14ac:dyDescent="0.3">
      <c r="A36" s="123">
        <v>35</v>
      </c>
      <c r="B36" s="159" t="s">
        <v>433</v>
      </c>
      <c r="C36" s="171" t="s">
        <v>434</v>
      </c>
      <c r="D36" s="87" t="s">
        <v>42</v>
      </c>
      <c r="E36" s="58">
        <v>224</v>
      </c>
      <c r="F36" s="68">
        <v>4</v>
      </c>
      <c r="G36" s="127">
        <f t="shared" si="0"/>
        <v>56</v>
      </c>
      <c r="H36" s="73">
        <f>(220-G36)*70%</f>
        <v>114.8</v>
      </c>
      <c r="I36" s="70"/>
      <c r="J36" s="91">
        <v>88</v>
      </c>
      <c r="K36" s="71">
        <v>80</v>
      </c>
    </row>
    <row r="37" spans="1:11" ht="15.6" x14ac:dyDescent="0.3">
      <c r="B37" s="60"/>
      <c r="C37" s="171"/>
      <c r="D37" s="87"/>
      <c r="E37" s="58"/>
      <c r="F37" s="57"/>
      <c r="G37" s="69"/>
      <c r="H37" s="72"/>
      <c r="I37" s="70"/>
      <c r="J37" s="91"/>
      <c r="K37" s="71"/>
    </row>
    <row r="38" spans="1:11" ht="15.6" x14ac:dyDescent="0.3">
      <c r="A38" s="123">
        <v>36</v>
      </c>
      <c r="B38" s="60" t="s">
        <v>128</v>
      </c>
      <c r="C38" s="171" t="s">
        <v>167</v>
      </c>
      <c r="D38" s="87" t="s">
        <v>42</v>
      </c>
      <c r="E38" s="57">
        <v>0</v>
      </c>
      <c r="F38" s="68">
        <v>0</v>
      </c>
      <c r="G38" s="127" t="e">
        <f t="shared" ref="G38:G44" si="2">SUM(E38/F38)</f>
        <v>#DIV/0!</v>
      </c>
      <c r="H38" s="73" t="e">
        <f t="shared" ref="H38:H44" si="3">(220-G38)*70%</f>
        <v>#DIV/0!</v>
      </c>
      <c r="I38" s="80"/>
      <c r="J38" s="91">
        <v>146</v>
      </c>
      <c r="K38" s="71">
        <v>51</v>
      </c>
    </row>
    <row r="39" spans="1:11" ht="15.6" x14ac:dyDescent="0.3">
      <c r="A39" s="123">
        <v>37</v>
      </c>
      <c r="B39" s="60" t="s">
        <v>276</v>
      </c>
      <c r="C39" s="71" t="s">
        <v>168</v>
      </c>
      <c r="D39" s="87" t="s">
        <v>42</v>
      </c>
      <c r="E39" s="57">
        <v>0</v>
      </c>
      <c r="F39" s="68">
        <v>0</v>
      </c>
      <c r="G39" s="127" t="e">
        <f t="shared" si="2"/>
        <v>#DIV/0!</v>
      </c>
      <c r="H39" s="73" t="e">
        <f t="shared" si="3"/>
        <v>#DIV/0!</v>
      </c>
      <c r="I39" s="80"/>
      <c r="J39" s="91">
        <v>131</v>
      </c>
      <c r="K39" s="71">
        <v>62</v>
      </c>
    </row>
    <row r="40" spans="1:11" ht="15.6" x14ac:dyDescent="0.3">
      <c r="A40" s="123">
        <v>38</v>
      </c>
      <c r="B40" s="60" t="s">
        <v>645</v>
      </c>
      <c r="C40" s="71" t="s">
        <v>167</v>
      </c>
      <c r="D40" s="86" t="s">
        <v>15</v>
      </c>
      <c r="E40" s="57">
        <v>0</v>
      </c>
      <c r="F40" s="68">
        <v>0</v>
      </c>
      <c r="G40" s="127" t="e">
        <f t="shared" si="2"/>
        <v>#DIV/0!</v>
      </c>
      <c r="H40" s="73" t="e">
        <f t="shared" si="3"/>
        <v>#DIV/0!</v>
      </c>
      <c r="I40" s="80"/>
      <c r="J40" s="91">
        <v>179</v>
      </c>
      <c r="K40" s="71">
        <v>28</v>
      </c>
    </row>
    <row r="41" spans="1:11" ht="15.6" x14ac:dyDescent="0.3">
      <c r="A41" s="123">
        <v>39</v>
      </c>
      <c r="B41" s="226" t="s">
        <v>430</v>
      </c>
      <c r="C41" s="171" t="s">
        <v>168</v>
      </c>
      <c r="D41" s="87" t="s">
        <v>42</v>
      </c>
      <c r="E41" s="58">
        <v>0</v>
      </c>
      <c r="F41" s="68">
        <v>0</v>
      </c>
      <c r="G41" s="127" t="e">
        <f t="shared" si="2"/>
        <v>#DIV/0!</v>
      </c>
      <c r="H41" s="73" t="e">
        <f t="shared" si="3"/>
        <v>#DIV/0!</v>
      </c>
      <c r="I41" s="70"/>
      <c r="J41" s="91">
        <v>194</v>
      </c>
      <c r="K41" s="71">
        <v>18</v>
      </c>
    </row>
    <row r="42" spans="1:11" ht="15.6" x14ac:dyDescent="0.3">
      <c r="A42" s="123">
        <v>40</v>
      </c>
      <c r="B42" s="60" t="s">
        <v>131</v>
      </c>
      <c r="C42" s="171" t="s">
        <v>167</v>
      </c>
      <c r="D42" s="87" t="s">
        <v>42</v>
      </c>
      <c r="E42" s="58">
        <v>0</v>
      </c>
      <c r="F42" s="68">
        <v>0</v>
      </c>
      <c r="G42" s="127" t="e">
        <f t="shared" si="2"/>
        <v>#DIV/0!</v>
      </c>
      <c r="H42" s="73" t="e">
        <f t="shared" si="3"/>
        <v>#DIV/0!</v>
      </c>
      <c r="I42" s="70"/>
      <c r="J42" s="91">
        <v>157</v>
      </c>
      <c r="K42" s="71">
        <v>44</v>
      </c>
    </row>
    <row r="43" spans="1:11" ht="15.6" x14ac:dyDescent="0.3">
      <c r="A43" s="123">
        <v>41</v>
      </c>
      <c r="B43" s="159" t="s">
        <v>632</v>
      </c>
      <c r="C43" s="171" t="s">
        <v>633</v>
      </c>
      <c r="D43" s="87" t="s">
        <v>42</v>
      </c>
      <c r="E43" s="58"/>
      <c r="F43" s="68"/>
      <c r="G43" s="127" t="e">
        <f t="shared" si="2"/>
        <v>#DIV/0!</v>
      </c>
      <c r="H43" s="73" t="e">
        <f t="shared" si="3"/>
        <v>#DIV/0!</v>
      </c>
      <c r="I43" s="70"/>
      <c r="J43" s="91">
        <v>140</v>
      </c>
      <c r="K43" s="71">
        <v>56</v>
      </c>
    </row>
    <row r="44" spans="1:11" ht="15.6" x14ac:dyDescent="0.3">
      <c r="A44" s="123">
        <v>42</v>
      </c>
      <c r="B44" s="60" t="s">
        <v>620</v>
      </c>
      <c r="C44" s="171" t="s">
        <v>221</v>
      </c>
      <c r="D44" s="87" t="s">
        <v>42</v>
      </c>
      <c r="E44" s="58">
        <v>0</v>
      </c>
      <c r="F44" s="68">
        <v>0</v>
      </c>
      <c r="G44" s="127" t="e">
        <f t="shared" si="2"/>
        <v>#DIV/0!</v>
      </c>
      <c r="H44" s="73" t="e">
        <f t="shared" si="3"/>
        <v>#DIV/0!</v>
      </c>
      <c r="I44" s="70"/>
      <c r="J44" s="91">
        <v>194</v>
      </c>
      <c r="K44" s="71">
        <v>18</v>
      </c>
    </row>
    <row r="46" spans="1:11" x14ac:dyDescent="0.25">
      <c r="B46" s="210" t="s">
        <v>708</v>
      </c>
      <c r="F46" s="8" t="s">
        <v>188</v>
      </c>
      <c r="G46" t="s">
        <v>189</v>
      </c>
    </row>
    <row r="47" spans="1:11" x14ac:dyDescent="0.25">
      <c r="F47" s="8" t="s">
        <v>194</v>
      </c>
      <c r="G47" t="s">
        <v>190</v>
      </c>
    </row>
    <row r="48" spans="1:11" x14ac:dyDescent="0.25">
      <c r="F48" s="8" t="s">
        <v>195</v>
      </c>
      <c r="G48" t="s">
        <v>191</v>
      </c>
    </row>
    <row r="49" spans="2:7" x14ac:dyDescent="0.25">
      <c r="F49" s="8" t="s">
        <v>196</v>
      </c>
      <c r="G49" t="s">
        <v>192</v>
      </c>
    </row>
    <row r="50" spans="2:7" x14ac:dyDescent="0.25">
      <c r="F50" s="8" t="s">
        <v>197</v>
      </c>
      <c r="G50" t="s">
        <v>193</v>
      </c>
    </row>
    <row r="52" spans="2:7" x14ac:dyDescent="0.25">
      <c r="B52" s="188"/>
    </row>
    <row r="62" spans="2:7" x14ac:dyDescent="0.25">
      <c r="G62" s="8"/>
    </row>
    <row r="63" spans="2:7" x14ac:dyDescent="0.25">
      <c r="G63" s="8"/>
    </row>
    <row r="64" spans="2:7" x14ac:dyDescent="0.25">
      <c r="G64" s="8"/>
    </row>
    <row r="65" spans="7:7" x14ac:dyDescent="0.25">
      <c r="G65" s="8"/>
    </row>
    <row r="66" spans="7:7" x14ac:dyDescent="0.25">
      <c r="G66" s="8"/>
    </row>
    <row r="67" spans="7:7" x14ac:dyDescent="0.25">
      <c r="G67" s="8"/>
    </row>
    <row r="68" spans="7:7" x14ac:dyDescent="0.25">
      <c r="G68" s="8"/>
    </row>
    <row r="69" spans="7:7" x14ac:dyDescent="0.25">
      <c r="G69" s="8"/>
    </row>
  </sheetData>
  <autoFilter ref="B1:K1" xr:uid="{00000000-0009-0000-0000-000004000000}">
    <sortState xmlns:xlrd2="http://schemas.microsoft.com/office/spreadsheetml/2017/richdata2" ref="B2:K36">
      <sortCondition descending="1" ref="G1"/>
    </sortState>
  </autoFilter>
  <phoneticPr fontId="0" type="noConversion"/>
  <printOptions horizontalCentered="1" verticalCentered="1" gridLines="1"/>
  <pageMargins left="0.23622047244094491" right="0.23622047244094491" top="0.98425196850393704" bottom="0.98425196850393704" header="0.51181102362204722" footer="1.1023622047244095"/>
  <pageSetup paperSize="9" scale="78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6ACB5-E26E-4F48-AC92-B3001EE2B2F8}">
  <sheetPr>
    <pageSetUpPr fitToPage="1"/>
  </sheetPr>
  <dimension ref="A1:AB464"/>
  <sheetViews>
    <sheetView topLeftCell="A81" zoomScale="60" zoomScaleNormal="60" workbookViewId="0">
      <selection activeCell="G96" sqref="G96:AB96"/>
    </sheetView>
  </sheetViews>
  <sheetFormatPr baseColWidth="10" defaultColWidth="11.44140625" defaultRowHeight="15.6" x14ac:dyDescent="0.25"/>
  <cols>
    <col min="1" max="1" width="2.6640625" style="233" customWidth="1"/>
    <col min="2" max="2" width="13.44140625" style="233" customWidth="1"/>
    <col min="3" max="3" width="2.6640625" style="342" customWidth="1"/>
    <col min="4" max="4" width="2.6640625" style="343" customWidth="1"/>
    <col min="5" max="5" width="2.6640625" style="344" customWidth="1"/>
    <col min="6" max="6" width="12" style="345" customWidth="1"/>
    <col min="7" max="7" width="80.6640625" style="346" customWidth="1"/>
    <col min="8" max="8" width="26" style="346" customWidth="1"/>
    <col min="9" max="9" width="36" style="347" bestFit="1" customWidth="1"/>
    <col min="10" max="10" width="3.6640625" style="233" customWidth="1"/>
    <col min="11" max="11" width="7.6640625" style="233" customWidth="1"/>
    <col min="12" max="17" width="3.6640625" style="346" customWidth="1"/>
    <col min="18" max="18" width="4.6640625" style="346" customWidth="1"/>
    <col min="19" max="19" width="3.6640625" style="233" customWidth="1"/>
    <col min="20" max="20" width="4.6640625" style="233" customWidth="1"/>
    <col min="21" max="21" width="3.6640625" style="233" customWidth="1"/>
    <col min="22" max="22" width="3.6640625" style="346" customWidth="1"/>
    <col min="23" max="23" width="3.6640625" style="233" customWidth="1"/>
    <col min="24" max="24" width="4.5546875" style="233" customWidth="1"/>
    <col min="25" max="25" width="6" style="233" bestFit="1" customWidth="1"/>
    <col min="26" max="26" width="3.6640625" style="346" customWidth="1"/>
    <col min="27" max="27" width="10.6640625" style="348" customWidth="1"/>
    <col min="28" max="28" width="48.33203125" style="233" customWidth="1"/>
    <col min="29" max="256" width="11.44140625" style="233"/>
    <col min="257" max="257" width="2.6640625" style="233" customWidth="1"/>
    <col min="258" max="258" width="13.44140625" style="233" customWidth="1"/>
    <col min="259" max="261" width="2.6640625" style="233" customWidth="1"/>
    <col min="262" max="262" width="12" style="233" customWidth="1"/>
    <col min="263" max="263" width="80.6640625" style="233" customWidth="1"/>
    <col min="264" max="264" width="26" style="233" customWidth="1"/>
    <col min="265" max="265" width="36" style="233" bestFit="1" customWidth="1"/>
    <col min="266" max="266" width="3.6640625" style="233" customWidth="1"/>
    <col min="267" max="267" width="7.6640625" style="233" customWidth="1"/>
    <col min="268" max="273" width="3.6640625" style="233" customWidth="1"/>
    <col min="274" max="274" width="4.6640625" style="233" customWidth="1"/>
    <col min="275" max="275" width="3.6640625" style="233" customWidth="1"/>
    <col min="276" max="276" width="4.6640625" style="233" customWidth="1"/>
    <col min="277" max="279" width="3.6640625" style="233" customWidth="1"/>
    <col min="280" max="280" width="4.5546875" style="233" customWidth="1"/>
    <col min="281" max="281" width="6" style="233" bestFit="1" customWidth="1"/>
    <col min="282" max="282" width="3.6640625" style="233" customWidth="1"/>
    <col min="283" max="283" width="10.6640625" style="233" customWidth="1"/>
    <col min="284" max="284" width="48.33203125" style="233" customWidth="1"/>
    <col min="285" max="512" width="11.44140625" style="233"/>
    <col min="513" max="513" width="2.6640625" style="233" customWidth="1"/>
    <col min="514" max="514" width="13.44140625" style="233" customWidth="1"/>
    <col min="515" max="517" width="2.6640625" style="233" customWidth="1"/>
    <col min="518" max="518" width="12" style="233" customWidth="1"/>
    <col min="519" max="519" width="80.6640625" style="233" customWidth="1"/>
    <col min="520" max="520" width="26" style="233" customWidth="1"/>
    <col min="521" max="521" width="36" style="233" bestFit="1" customWidth="1"/>
    <col min="522" max="522" width="3.6640625" style="233" customWidth="1"/>
    <col min="523" max="523" width="7.6640625" style="233" customWidth="1"/>
    <col min="524" max="529" width="3.6640625" style="233" customWidth="1"/>
    <col min="530" max="530" width="4.6640625" style="233" customWidth="1"/>
    <col min="531" max="531" width="3.6640625" style="233" customWidth="1"/>
    <col min="532" max="532" width="4.6640625" style="233" customWidth="1"/>
    <col min="533" max="535" width="3.6640625" style="233" customWidth="1"/>
    <col min="536" max="536" width="4.5546875" style="233" customWidth="1"/>
    <col min="537" max="537" width="6" style="233" bestFit="1" customWidth="1"/>
    <col min="538" max="538" width="3.6640625" style="233" customWidth="1"/>
    <col min="539" max="539" width="10.6640625" style="233" customWidth="1"/>
    <col min="540" max="540" width="48.33203125" style="233" customWidth="1"/>
    <col min="541" max="768" width="11.44140625" style="233"/>
    <col min="769" max="769" width="2.6640625" style="233" customWidth="1"/>
    <col min="770" max="770" width="13.44140625" style="233" customWidth="1"/>
    <col min="771" max="773" width="2.6640625" style="233" customWidth="1"/>
    <col min="774" max="774" width="12" style="233" customWidth="1"/>
    <col min="775" max="775" width="80.6640625" style="233" customWidth="1"/>
    <col min="776" max="776" width="26" style="233" customWidth="1"/>
    <col min="777" max="777" width="36" style="233" bestFit="1" customWidth="1"/>
    <col min="778" max="778" width="3.6640625" style="233" customWidth="1"/>
    <col min="779" max="779" width="7.6640625" style="233" customWidth="1"/>
    <col min="780" max="785" width="3.6640625" style="233" customWidth="1"/>
    <col min="786" max="786" width="4.6640625" style="233" customWidth="1"/>
    <col min="787" max="787" width="3.6640625" style="233" customWidth="1"/>
    <col min="788" max="788" width="4.6640625" style="233" customWidth="1"/>
    <col min="789" max="791" width="3.6640625" style="233" customWidth="1"/>
    <col min="792" max="792" width="4.5546875" style="233" customWidth="1"/>
    <col min="793" max="793" width="6" style="233" bestFit="1" customWidth="1"/>
    <col min="794" max="794" width="3.6640625" style="233" customWidth="1"/>
    <col min="795" max="795" width="10.6640625" style="233" customWidth="1"/>
    <col min="796" max="796" width="48.33203125" style="233" customWidth="1"/>
    <col min="797" max="1024" width="11.44140625" style="233"/>
    <col min="1025" max="1025" width="2.6640625" style="233" customWidth="1"/>
    <col min="1026" max="1026" width="13.44140625" style="233" customWidth="1"/>
    <col min="1027" max="1029" width="2.6640625" style="233" customWidth="1"/>
    <col min="1030" max="1030" width="12" style="233" customWidth="1"/>
    <col min="1031" max="1031" width="80.6640625" style="233" customWidth="1"/>
    <col min="1032" max="1032" width="26" style="233" customWidth="1"/>
    <col min="1033" max="1033" width="36" style="233" bestFit="1" customWidth="1"/>
    <col min="1034" max="1034" width="3.6640625" style="233" customWidth="1"/>
    <col min="1035" max="1035" width="7.6640625" style="233" customWidth="1"/>
    <col min="1036" max="1041" width="3.6640625" style="233" customWidth="1"/>
    <col min="1042" max="1042" width="4.6640625" style="233" customWidth="1"/>
    <col min="1043" max="1043" width="3.6640625" style="233" customWidth="1"/>
    <col min="1044" max="1044" width="4.6640625" style="233" customWidth="1"/>
    <col min="1045" max="1047" width="3.6640625" style="233" customWidth="1"/>
    <col min="1048" max="1048" width="4.5546875" style="233" customWidth="1"/>
    <col min="1049" max="1049" width="6" style="233" bestFit="1" customWidth="1"/>
    <col min="1050" max="1050" width="3.6640625" style="233" customWidth="1"/>
    <col min="1051" max="1051" width="10.6640625" style="233" customWidth="1"/>
    <col min="1052" max="1052" width="48.33203125" style="233" customWidth="1"/>
    <col min="1053" max="1280" width="11.44140625" style="233"/>
    <col min="1281" max="1281" width="2.6640625" style="233" customWidth="1"/>
    <col min="1282" max="1282" width="13.44140625" style="233" customWidth="1"/>
    <col min="1283" max="1285" width="2.6640625" style="233" customWidth="1"/>
    <col min="1286" max="1286" width="12" style="233" customWidth="1"/>
    <col min="1287" max="1287" width="80.6640625" style="233" customWidth="1"/>
    <col min="1288" max="1288" width="26" style="233" customWidth="1"/>
    <col min="1289" max="1289" width="36" style="233" bestFit="1" customWidth="1"/>
    <col min="1290" max="1290" width="3.6640625" style="233" customWidth="1"/>
    <col min="1291" max="1291" width="7.6640625" style="233" customWidth="1"/>
    <col min="1292" max="1297" width="3.6640625" style="233" customWidth="1"/>
    <col min="1298" max="1298" width="4.6640625" style="233" customWidth="1"/>
    <col min="1299" max="1299" width="3.6640625" style="233" customWidth="1"/>
    <col min="1300" max="1300" width="4.6640625" style="233" customWidth="1"/>
    <col min="1301" max="1303" width="3.6640625" style="233" customWidth="1"/>
    <col min="1304" max="1304" width="4.5546875" style="233" customWidth="1"/>
    <col min="1305" max="1305" width="6" style="233" bestFit="1" customWidth="1"/>
    <col min="1306" max="1306" width="3.6640625" style="233" customWidth="1"/>
    <col min="1307" max="1307" width="10.6640625" style="233" customWidth="1"/>
    <col min="1308" max="1308" width="48.33203125" style="233" customWidth="1"/>
    <col min="1309" max="1536" width="11.44140625" style="233"/>
    <col min="1537" max="1537" width="2.6640625" style="233" customWidth="1"/>
    <col min="1538" max="1538" width="13.44140625" style="233" customWidth="1"/>
    <col min="1539" max="1541" width="2.6640625" style="233" customWidth="1"/>
    <col min="1542" max="1542" width="12" style="233" customWidth="1"/>
    <col min="1543" max="1543" width="80.6640625" style="233" customWidth="1"/>
    <col min="1544" max="1544" width="26" style="233" customWidth="1"/>
    <col min="1545" max="1545" width="36" style="233" bestFit="1" customWidth="1"/>
    <col min="1546" max="1546" width="3.6640625" style="233" customWidth="1"/>
    <col min="1547" max="1547" width="7.6640625" style="233" customWidth="1"/>
    <col min="1548" max="1553" width="3.6640625" style="233" customWidth="1"/>
    <col min="1554" max="1554" width="4.6640625" style="233" customWidth="1"/>
    <col min="1555" max="1555" width="3.6640625" style="233" customWidth="1"/>
    <col min="1556" max="1556" width="4.6640625" style="233" customWidth="1"/>
    <col min="1557" max="1559" width="3.6640625" style="233" customWidth="1"/>
    <col min="1560" max="1560" width="4.5546875" style="233" customWidth="1"/>
    <col min="1561" max="1561" width="6" style="233" bestFit="1" customWidth="1"/>
    <col min="1562" max="1562" width="3.6640625" style="233" customWidth="1"/>
    <col min="1563" max="1563" width="10.6640625" style="233" customWidth="1"/>
    <col min="1564" max="1564" width="48.33203125" style="233" customWidth="1"/>
    <col min="1565" max="1792" width="11.44140625" style="233"/>
    <col min="1793" max="1793" width="2.6640625" style="233" customWidth="1"/>
    <col min="1794" max="1794" width="13.44140625" style="233" customWidth="1"/>
    <col min="1795" max="1797" width="2.6640625" style="233" customWidth="1"/>
    <col min="1798" max="1798" width="12" style="233" customWidth="1"/>
    <col min="1799" max="1799" width="80.6640625" style="233" customWidth="1"/>
    <col min="1800" max="1800" width="26" style="233" customWidth="1"/>
    <col min="1801" max="1801" width="36" style="233" bestFit="1" customWidth="1"/>
    <col min="1802" max="1802" width="3.6640625" style="233" customWidth="1"/>
    <col min="1803" max="1803" width="7.6640625" style="233" customWidth="1"/>
    <col min="1804" max="1809" width="3.6640625" style="233" customWidth="1"/>
    <col min="1810" max="1810" width="4.6640625" style="233" customWidth="1"/>
    <col min="1811" max="1811" width="3.6640625" style="233" customWidth="1"/>
    <col min="1812" max="1812" width="4.6640625" style="233" customWidth="1"/>
    <col min="1813" max="1815" width="3.6640625" style="233" customWidth="1"/>
    <col min="1816" max="1816" width="4.5546875" style="233" customWidth="1"/>
    <col min="1817" max="1817" width="6" style="233" bestFit="1" customWidth="1"/>
    <col min="1818" max="1818" width="3.6640625" style="233" customWidth="1"/>
    <col min="1819" max="1819" width="10.6640625" style="233" customWidth="1"/>
    <col min="1820" max="1820" width="48.33203125" style="233" customWidth="1"/>
    <col min="1821" max="2048" width="11.44140625" style="233"/>
    <col min="2049" max="2049" width="2.6640625" style="233" customWidth="1"/>
    <col min="2050" max="2050" width="13.44140625" style="233" customWidth="1"/>
    <col min="2051" max="2053" width="2.6640625" style="233" customWidth="1"/>
    <col min="2054" max="2054" width="12" style="233" customWidth="1"/>
    <col min="2055" max="2055" width="80.6640625" style="233" customWidth="1"/>
    <col min="2056" max="2056" width="26" style="233" customWidth="1"/>
    <col min="2057" max="2057" width="36" style="233" bestFit="1" customWidth="1"/>
    <col min="2058" max="2058" width="3.6640625" style="233" customWidth="1"/>
    <col min="2059" max="2059" width="7.6640625" style="233" customWidth="1"/>
    <col min="2060" max="2065" width="3.6640625" style="233" customWidth="1"/>
    <col min="2066" max="2066" width="4.6640625" style="233" customWidth="1"/>
    <col min="2067" max="2067" width="3.6640625" style="233" customWidth="1"/>
    <col min="2068" max="2068" width="4.6640625" style="233" customWidth="1"/>
    <col min="2069" max="2071" width="3.6640625" style="233" customWidth="1"/>
    <col min="2072" max="2072" width="4.5546875" style="233" customWidth="1"/>
    <col min="2073" max="2073" width="6" style="233" bestFit="1" customWidth="1"/>
    <col min="2074" max="2074" width="3.6640625" style="233" customWidth="1"/>
    <col min="2075" max="2075" width="10.6640625" style="233" customWidth="1"/>
    <col min="2076" max="2076" width="48.33203125" style="233" customWidth="1"/>
    <col min="2077" max="2304" width="11.44140625" style="233"/>
    <col min="2305" max="2305" width="2.6640625" style="233" customWidth="1"/>
    <col min="2306" max="2306" width="13.44140625" style="233" customWidth="1"/>
    <col min="2307" max="2309" width="2.6640625" style="233" customWidth="1"/>
    <col min="2310" max="2310" width="12" style="233" customWidth="1"/>
    <col min="2311" max="2311" width="80.6640625" style="233" customWidth="1"/>
    <col min="2312" max="2312" width="26" style="233" customWidth="1"/>
    <col min="2313" max="2313" width="36" style="233" bestFit="1" customWidth="1"/>
    <col min="2314" max="2314" width="3.6640625" style="233" customWidth="1"/>
    <col min="2315" max="2315" width="7.6640625" style="233" customWidth="1"/>
    <col min="2316" max="2321" width="3.6640625" style="233" customWidth="1"/>
    <col min="2322" max="2322" width="4.6640625" style="233" customWidth="1"/>
    <col min="2323" max="2323" width="3.6640625" style="233" customWidth="1"/>
    <col min="2324" max="2324" width="4.6640625" style="233" customWidth="1"/>
    <col min="2325" max="2327" width="3.6640625" style="233" customWidth="1"/>
    <col min="2328" max="2328" width="4.5546875" style="233" customWidth="1"/>
    <col min="2329" max="2329" width="6" style="233" bestFit="1" customWidth="1"/>
    <col min="2330" max="2330" width="3.6640625" style="233" customWidth="1"/>
    <col min="2331" max="2331" width="10.6640625" style="233" customWidth="1"/>
    <col min="2332" max="2332" width="48.33203125" style="233" customWidth="1"/>
    <col min="2333" max="2560" width="11.44140625" style="233"/>
    <col min="2561" max="2561" width="2.6640625" style="233" customWidth="1"/>
    <col min="2562" max="2562" width="13.44140625" style="233" customWidth="1"/>
    <col min="2563" max="2565" width="2.6640625" style="233" customWidth="1"/>
    <col min="2566" max="2566" width="12" style="233" customWidth="1"/>
    <col min="2567" max="2567" width="80.6640625" style="233" customWidth="1"/>
    <col min="2568" max="2568" width="26" style="233" customWidth="1"/>
    <col min="2569" max="2569" width="36" style="233" bestFit="1" customWidth="1"/>
    <col min="2570" max="2570" width="3.6640625" style="233" customWidth="1"/>
    <col min="2571" max="2571" width="7.6640625" style="233" customWidth="1"/>
    <col min="2572" max="2577" width="3.6640625" style="233" customWidth="1"/>
    <col min="2578" max="2578" width="4.6640625" style="233" customWidth="1"/>
    <col min="2579" max="2579" width="3.6640625" style="233" customWidth="1"/>
    <col min="2580" max="2580" width="4.6640625" style="233" customWidth="1"/>
    <col min="2581" max="2583" width="3.6640625" style="233" customWidth="1"/>
    <col min="2584" max="2584" width="4.5546875" style="233" customWidth="1"/>
    <col min="2585" max="2585" width="6" style="233" bestFit="1" customWidth="1"/>
    <col min="2586" max="2586" width="3.6640625" style="233" customWidth="1"/>
    <col min="2587" max="2587" width="10.6640625" style="233" customWidth="1"/>
    <col min="2588" max="2588" width="48.33203125" style="233" customWidth="1"/>
    <col min="2589" max="2816" width="11.44140625" style="233"/>
    <col min="2817" max="2817" width="2.6640625" style="233" customWidth="1"/>
    <col min="2818" max="2818" width="13.44140625" style="233" customWidth="1"/>
    <col min="2819" max="2821" width="2.6640625" style="233" customWidth="1"/>
    <col min="2822" max="2822" width="12" style="233" customWidth="1"/>
    <col min="2823" max="2823" width="80.6640625" style="233" customWidth="1"/>
    <col min="2824" max="2824" width="26" style="233" customWidth="1"/>
    <col min="2825" max="2825" width="36" style="233" bestFit="1" customWidth="1"/>
    <col min="2826" max="2826" width="3.6640625" style="233" customWidth="1"/>
    <col min="2827" max="2827" width="7.6640625" style="233" customWidth="1"/>
    <col min="2828" max="2833" width="3.6640625" style="233" customWidth="1"/>
    <col min="2834" max="2834" width="4.6640625" style="233" customWidth="1"/>
    <col min="2835" max="2835" width="3.6640625" style="233" customWidth="1"/>
    <col min="2836" max="2836" width="4.6640625" style="233" customWidth="1"/>
    <col min="2837" max="2839" width="3.6640625" style="233" customWidth="1"/>
    <col min="2840" max="2840" width="4.5546875" style="233" customWidth="1"/>
    <col min="2841" max="2841" width="6" style="233" bestFit="1" customWidth="1"/>
    <col min="2842" max="2842" width="3.6640625" style="233" customWidth="1"/>
    <col min="2843" max="2843" width="10.6640625" style="233" customWidth="1"/>
    <col min="2844" max="2844" width="48.33203125" style="233" customWidth="1"/>
    <col min="2845" max="3072" width="11.44140625" style="233"/>
    <col min="3073" max="3073" width="2.6640625" style="233" customWidth="1"/>
    <col min="3074" max="3074" width="13.44140625" style="233" customWidth="1"/>
    <col min="3075" max="3077" width="2.6640625" style="233" customWidth="1"/>
    <col min="3078" max="3078" width="12" style="233" customWidth="1"/>
    <col min="3079" max="3079" width="80.6640625" style="233" customWidth="1"/>
    <col min="3080" max="3080" width="26" style="233" customWidth="1"/>
    <col min="3081" max="3081" width="36" style="233" bestFit="1" customWidth="1"/>
    <col min="3082" max="3082" width="3.6640625" style="233" customWidth="1"/>
    <col min="3083" max="3083" width="7.6640625" style="233" customWidth="1"/>
    <col min="3084" max="3089" width="3.6640625" style="233" customWidth="1"/>
    <col min="3090" max="3090" width="4.6640625" style="233" customWidth="1"/>
    <col min="3091" max="3091" width="3.6640625" style="233" customWidth="1"/>
    <col min="3092" max="3092" width="4.6640625" style="233" customWidth="1"/>
    <col min="3093" max="3095" width="3.6640625" style="233" customWidth="1"/>
    <col min="3096" max="3096" width="4.5546875" style="233" customWidth="1"/>
    <col min="3097" max="3097" width="6" style="233" bestFit="1" customWidth="1"/>
    <col min="3098" max="3098" width="3.6640625" style="233" customWidth="1"/>
    <col min="3099" max="3099" width="10.6640625" style="233" customWidth="1"/>
    <col min="3100" max="3100" width="48.33203125" style="233" customWidth="1"/>
    <col min="3101" max="3328" width="11.44140625" style="233"/>
    <col min="3329" max="3329" width="2.6640625" style="233" customWidth="1"/>
    <col min="3330" max="3330" width="13.44140625" style="233" customWidth="1"/>
    <col min="3331" max="3333" width="2.6640625" style="233" customWidth="1"/>
    <col min="3334" max="3334" width="12" style="233" customWidth="1"/>
    <col min="3335" max="3335" width="80.6640625" style="233" customWidth="1"/>
    <col min="3336" max="3336" width="26" style="233" customWidth="1"/>
    <col min="3337" max="3337" width="36" style="233" bestFit="1" customWidth="1"/>
    <col min="3338" max="3338" width="3.6640625" style="233" customWidth="1"/>
    <col min="3339" max="3339" width="7.6640625" style="233" customWidth="1"/>
    <col min="3340" max="3345" width="3.6640625" style="233" customWidth="1"/>
    <col min="3346" max="3346" width="4.6640625" style="233" customWidth="1"/>
    <col min="3347" max="3347" width="3.6640625" style="233" customWidth="1"/>
    <col min="3348" max="3348" width="4.6640625" style="233" customWidth="1"/>
    <col min="3349" max="3351" width="3.6640625" style="233" customWidth="1"/>
    <col min="3352" max="3352" width="4.5546875" style="233" customWidth="1"/>
    <col min="3353" max="3353" width="6" style="233" bestFit="1" customWidth="1"/>
    <col min="3354" max="3354" width="3.6640625" style="233" customWidth="1"/>
    <col min="3355" max="3355" width="10.6640625" style="233" customWidth="1"/>
    <col min="3356" max="3356" width="48.33203125" style="233" customWidth="1"/>
    <col min="3357" max="3584" width="11.44140625" style="233"/>
    <col min="3585" max="3585" width="2.6640625" style="233" customWidth="1"/>
    <col min="3586" max="3586" width="13.44140625" style="233" customWidth="1"/>
    <col min="3587" max="3589" width="2.6640625" style="233" customWidth="1"/>
    <col min="3590" max="3590" width="12" style="233" customWidth="1"/>
    <col min="3591" max="3591" width="80.6640625" style="233" customWidth="1"/>
    <col min="3592" max="3592" width="26" style="233" customWidth="1"/>
    <col min="3593" max="3593" width="36" style="233" bestFit="1" customWidth="1"/>
    <col min="3594" max="3594" width="3.6640625" style="233" customWidth="1"/>
    <col min="3595" max="3595" width="7.6640625" style="233" customWidth="1"/>
    <col min="3596" max="3601" width="3.6640625" style="233" customWidth="1"/>
    <col min="3602" max="3602" width="4.6640625" style="233" customWidth="1"/>
    <col min="3603" max="3603" width="3.6640625" style="233" customWidth="1"/>
    <col min="3604" max="3604" width="4.6640625" style="233" customWidth="1"/>
    <col min="3605" max="3607" width="3.6640625" style="233" customWidth="1"/>
    <col min="3608" max="3608" width="4.5546875" style="233" customWidth="1"/>
    <col min="3609" max="3609" width="6" style="233" bestFit="1" customWidth="1"/>
    <col min="3610" max="3610" width="3.6640625" style="233" customWidth="1"/>
    <col min="3611" max="3611" width="10.6640625" style="233" customWidth="1"/>
    <col min="3612" max="3612" width="48.33203125" style="233" customWidth="1"/>
    <col min="3613" max="3840" width="11.44140625" style="233"/>
    <col min="3841" max="3841" width="2.6640625" style="233" customWidth="1"/>
    <col min="3842" max="3842" width="13.44140625" style="233" customWidth="1"/>
    <col min="3843" max="3845" width="2.6640625" style="233" customWidth="1"/>
    <col min="3846" max="3846" width="12" style="233" customWidth="1"/>
    <col min="3847" max="3847" width="80.6640625" style="233" customWidth="1"/>
    <col min="3848" max="3848" width="26" style="233" customWidth="1"/>
    <col min="3849" max="3849" width="36" style="233" bestFit="1" customWidth="1"/>
    <col min="3850" max="3850" width="3.6640625" style="233" customWidth="1"/>
    <col min="3851" max="3851" width="7.6640625" style="233" customWidth="1"/>
    <col min="3852" max="3857" width="3.6640625" style="233" customWidth="1"/>
    <col min="3858" max="3858" width="4.6640625" style="233" customWidth="1"/>
    <col min="3859" max="3859" width="3.6640625" style="233" customWidth="1"/>
    <col min="3860" max="3860" width="4.6640625" style="233" customWidth="1"/>
    <col min="3861" max="3863" width="3.6640625" style="233" customWidth="1"/>
    <col min="3864" max="3864" width="4.5546875" style="233" customWidth="1"/>
    <col min="3865" max="3865" width="6" style="233" bestFit="1" customWidth="1"/>
    <col min="3866" max="3866" width="3.6640625" style="233" customWidth="1"/>
    <col min="3867" max="3867" width="10.6640625" style="233" customWidth="1"/>
    <col min="3868" max="3868" width="48.33203125" style="233" customWidth="1"/>
    <col min="3869" max="4096" width="11.44140625" style="233"/>
    <col min="4097" max="4097" width="2.6640625" style="233" customWidth="1"/>
    <col min="4098" max="4098" width="13.44140625" style="233" customWidth="1"/>
    <col min="4099" max="4101" width="2.6640625" style="233" customWidth="1"/>
    <col min="4102" max="4102" width="12" style="233" customWidth="1"/>
    <col min="4103" max="4103" width="80.6640625" style="233" customWidth="1"/>
    <col min="4104" max="4104" width="26" style="233" customWidth="1"/>
    <col min="4105" max="4105" width="36" style="233" bestFit="1" customWidth="1"/>
    <col min="4106" max="4106" width="3.6640625" style="233" customWidth="1"/>
    <col min="4107" max="4107" width="7.6640625" style="233" customWidth="1"/>
    <col min="4108" max="4113" width="3.6640625" style="233" customWidth="1"/>
    <col min="4114" max="4114" width="4.6640625" style="233" customWidth="1"/>
    <col min="4115" max="4115" width="3.6640625" style="233" customWidth="1"/>
    <col min="4116" max="4116" width="4.6640625" style="233" customWidth="1"/>
    <col min="4117" max="4119" width="3.6640625" style="233" customWidth="1"/>
    <col min="4120" max="4120" width="4.5546875" style="233" customWidth="1"/>
    <col min="4121" max="4121" width="6" style="233" bestFit="1" customWidth="1"/>
    <col min="4122" max="4122" width="3.6640625" style="233" customWidth="1"/>
    <col min="4123" max="4123" width="10.6640625" style="233" customWidth="1"/>
    <col min="4124" max="4124" width="48.33203125" style="233" customWidth="1"/>
    <col min="4125" max="4352" width="11.44140625" style="233"/>
    <col min="4353" max="4353" width="2.6640625" style="233" customWidth="1"/>
    <col min="4354" max="4354" width="13.44140625" style="233" customWidth="1"/>
    <col min="4355" max="4357" width="2.6640625" style="233" customWidth="1"/>
    <col min="4358" max="4358" width="12" style="233" customWidth="1"/>
    <col min="4359" max="4359" width="80.6640625" style="233" customWidth="1"/>
    <col min="4360" max="4360" width="26" style="233" customWidth="1"/>
    <col min="4361" max="4361" width="36" style="233" bestFit="1" customWidth="1"/>
    <col min="4362" max="4362" width="3.6640625" style="233" customWidth="1"/>
    <col min="4363" max="4363" width="7.6640625" style="233" customWidth="1"/>
    <col min="4364" max="4369" width="3.6640625" style="233" customWidth="1"/>
    <col min="4370" max="4370" width="4.6640625" style="233" customWidth="1"/>
    <col min="4371" max="4371" width="3.6640625" style="233" customWidth="1"/>
    <col min="4372" max="4372" width="4.6640625" style="233" customWidth="1"/>
    <col min="4373" max="4375" width="3.6640625" style="233" customWidth="1"/>
    <col min="4376" max="4376" width="4.5546875" style="233" customWidth="1"/>
    <col min="4377" max="4377" width="6" style="233" bestFit="1" customWidth="1"/>
    <col min="4378" max="4378" width="3.6640625" style="233" customWidth="1"/>
    <col min="4379" max="4379" width="10.6640625" style="233" customWidth="1"/>
    <col min="4380" max="4380" width="48.33203125" style="233" customWidth="1"/>
    <col min="4381" max="4608" width="11.44140625" style="233"/>
    <col min="4609" max="4609" width="2.6640625" style="233" customWidth="1"/>
    <col min="4610" max="4610" width="13.44140625" style="233" customWidth="1"/>
    <col min="4611" max="4613" width="2.6640625" style="233" customWidth="1"/>
    <col min="4614" max="4614" width="12" style="233" customWidth="1"/>
    <col min="4615" max="4615" width="80.6640625" style="233" customWidth="1"/>
    <col min="4616" max="4616" width="26" style="233" customWidth="1"/>
    <col min="4617" max="4617" width="36" style="233" bestFit="1" customWidth="1"/>
    <col min="4618" max="4618" width="3.6640625" style="233" customWidth="1"/>
    <col min="4619" max="4619" width="7.6640625" style="233" customWidth="1"/>
    <col min="4620" max="4625" width="3.6640625" style="233" customWidth="1"/>
    <col min="4626" max="4626" width="4.6640625" style="233" customWidth="1"/>
    <col min="4627" max="4627" width="3.6640625" style="233" customWidth="1"/>
    <col min="4628" max="4628" width="4.6640625" style="233" customWidth="1"/>
    <col min="4629" max="4631" width="3.6640625" style="233" customWidth="1"/>
    <col min="4632" max="4632" width="4.5546875" style="233" customWidth="1"/>
    <col min="4633" max="4633" width="6" style="233" bestFit="1" customWidth="1"/>
    <col min="4634" max="4634" width="3.6640625" style="233" customWidth="1"/>
    <col min="4635" max="4635" width="10.6640625" style="233" customWidth="1"/>
    <col min="4636" max="4636" width="48.33203125" style="233" customWidth="1"/>
    <col min="4637" max="4864" width="11.44140625" style="233"/>
    <col min="4865" max="4865" width="2.6640625" style="233" customWidth="1"/>
    <col min="4866" max="4866" width="13.44140625" style="233" customWidth="1"/>
    <col min="4867" max="4869" width="2.6640625" style="233" customWidth="1"/>
    <col min="4870" max="4870" width="12" style="233" customWidth="1"/>
    <col min="4871" max="4871" width="80.6640625" style="233" customWidth="1"/>
    <col min="4872" max="4872" width="26" style="233" customWidth="1"/>
    <col min="4873" max="4873" width="36" style="233" bestFit="1" customWidth="1"/>
    <col min="4874" max="4874" width="3.6640625" style="233" customWidth="1"/>
    <col min="4875" max="4875" width="7.6640625" style="233" customWidth="1"/>
    <col min="4876" max="4881" width="3.6640625" style="233" customWidth="1"/>
    <col min="4882" max="4882" width="4.6640625" style="233" customWidth="1"/>
    <col min="4883" max="4883" width="3.6640625" style="233" customWidth="1"/>
    <col min="4884" max="4884" width="4.6640625" style="233" customWidth="1"/>
    <col min="4885" max="4887" width="3.6640625" style="233" customWidth="1"/>
    <col min="4888" max="4888" width="4.5546875" style="233" customWidth="1"/>
    <col min="4889" max="4889" width="6" style="233" bestFit="1" customWidth="1"/>
    <col min="4890" max="4890" width="3.6640625" style="233" customWidth="1"/>
    <col min="4891" max="4891" width="10.6640625" style="233" customWidth="1"/>
    <col min="4892" max="4892" width="48.33203125" style="233" customWidth="1"/>
    <col min="4893" max="5120" width="11.44140625" style="233"/>
    <col min="5121" max="5121" width="2.6640625" style="233" customWidth="1"/>
    <col min="5122" max="5122" width="13.44140625" style="233" customWidth="1"/>
    <col min="5123" max="5125" width="2.6640625" style="233" customWidth="1"/>
    <col min="5126" max="5126" width="12" style="233" customWidth="1"/>
    <col min="5127" max="5127" width="80.6640625" style="233" customWidth="1"/>
    <col min="5128" max="5128" width="26" style="233" customWidth="1"/>
    <col min="5129" max="5129" width="36" style="233" bestFit="1" customWidth="1"/>
    <col min="5130" max="5130" width="3.6640625" style="233" customWidth="1"/>
    <col min="5131" max="5131" width="7.6640625" style="233" customWidth="1"/>
    <col min="5132" max="5137" width="3.6640625" style="233" customWidth="1"/>
    <col min="5138" max="5138" width="4.6640625" style="233" customWidth="1"/>
    <col min="5139" max="5139" width="3.6640625" style="233" customWidth="1"/>
    <col min="5140" max="5140" width="4.6640625" style="233" customWidth="1"/>
    <col min="5141" max="5143" width="3.6640625" style="233" customWidth="1"/>
    <col min="5144" max="5144" width="4.5546875" style="233" customWidth="1"/>
    <col min="5145" max="5145" width="6" style="233" bestFit="1" customWidth="1"/>
    <col min="5146" max="5146" width="3.6640625" style="233" customWidth="1"/>
    <col min="5147" max="5147" width="10.6640625" style="233" customWidth="1"/>
    <col min="5148" max="5148" width="48.33203125" style="233" customWidth="1"/>
    <col min="5149" max="5376" width="11.44140625" style="233"/>
    <col min="5377" max="5377" width="2.6640625" style="233" customWidth="1"/>
    <col min="5378" max="5378" width="13.44140625" style="233" customWidth="1"/>
    <col min="5379" max="5381" width="2.6640625" style="233" customWidth="1"/>
    <col min="5382" max="5382" width="12" style="233" customWidth="1"/>
    <col min="5383" max="5383" width="80.6640625" style="233" customWidth="1"/>
    <col min="5384" max="5384" width="26" style="233" customWidth="1"/>
    <col min="5385" max="5385" width="36" style="233" bestFit="1" customWidth="1"/>
    <col min="5386" max="5386" width="3.6640625" style="233" customWidth="1"/>
    <col min="5387" max="5387" width="7.6640625" style="233" customWidth="1"/>
    <col min="5388" max="5393" width="3.6640625" style="233" customWidth="1"/>
    <col min="5394" max="5394" width="4.6640625" style="233" customWidth="1"/>
    <col min="5395" max="5395" width="3.6640625" style="233" customWidth="1"/>
    <col min="5396" max="5396" width="4.6640625" style="233" customWidth="1"/>
    <col min="5397" max="5399" width="3.6640625" style="233" customWidth="1"/>
    <col min="5400" max="5400" width="4.5546875" style="233" customWidth="1"/>
    <col min="5401" max="5401" width="6" style="233" bestFit="1" customWidth="1"/>
    <col min="5402" max="5402" width="3.6640625" style="233" customWidth="1"/>
    <col min="5403" max="5403" width="10.6640625" style="233" customWidth="1"/>
    <col min="5404" max="5404" width="48.33203125" style="233" customWidth="1"/>
    <col min="5405" max="5632" width="11.44140625" style="233"/>
    <col min="5633" max="5633" width="2.6640625" style="233" customWidth="1"/>
    <col min="5634" max="5634" width="13.44140625" style="233" customWidth="1"/>
    <col min="5635" max="5637" width="2.6640625" style="233" customWidth="1"/>
    <col min="5638" max="5638" width="12" style="233" customWidth="1"/>
    <col min="5639" max="5639" width="80.6640625" style="233" customWidth="1"/>
    <col min="5640" max="5640" width="26" style="233" customWidth="1"/>
    <col min="5641" max="5641" width="36" style="233" bestFit="1" customWidth="1"/>
    <col min="5642" max="5642" width="3.6640625" style="233" customWidth="1"/>
    <col min="5643" max="5643" width="7.6640625" style="233" customWidth="1"/>
    <col min="5644" max="5649" width="3.6640625" style="233" customWidth="1"/>
    <col min="5650" max="5650" width="4.6640625" style="233" customWidth="1"/>
    <col min="5651" max="5651" width="3.6640625" style="233" customWidth="1"/>
    <col min="5652" max="5652" width="4.6640625" style="233" customWidth="1"/>
    <col min="5653" max="5655" width="3.6640625" style="233" customWidth="1"/>
    <col min="5656" max="5656" width="4.5546875" style="233" customWidth="1"/>
    <col min="5657" max="5657" width="6" style="233" bestFit="1" customWidth="1"/>
    <col min="5658" max="5658" width="3.6640625" style="233" customWidth="1"/>
    <col min="5659" max="5659" width="10.6640625" style="233" customWidth="1"/>
    <col min="5660" max="5660" width="48.33203125" style="233" customWidth="1"/>
    <col min="5661" max="5888" width="11.44140625" style="233"/>
    <col min="5889" max="5889" width="2.6640625" style="233" customWidth="1"/>
    <col min="5890" max="5890" width="13.44140625" style="233" customWidth="1"/>
    <col min="5891" max="5893" width="2.6640625" style="233" customWidth="1"/>
    <col min="5894" max="5894" width="12" style="233" customWidth="1"/>
    <col min="5895" max="5895" width="80.6640625" style="233" customWidth="1"/>
    <col min="5896" max="5896" width="26" style="233" customWidth="1"/>
    <col min="5897" max="5897" width="36" style="233" bestFit="1" customWidth="1"/>
    <col min="5898" max="5898" width="3.6640625" style="233" customWidth="1"/>
    <col min="5899" max="5899" width="7.6640625" style="233" customWidth="1"/>
    <col min="5900" max="5905" width="3.6640625" style="233" customWidth="1"/>
    <col min="5906" max="5906" width="4.6640625" style="233" customWidth="1"/>
    <col min="5907" max="5907" width="3.6640625" style="233" customWidth="1"/>
    <col min="5908" max="5908" width="4.6640625" style="233" customWidth="1"/>
    <col min="5909" max="5911" width="3.6640625" style="233" customWidth="1"/>
    <col min="5912" max="5912" width="4.5546875" style="233" customWidth="1"/>
    <col min="5913" max="5913" width="6" style="233" bestFit="1" customWidth="1"/>
    <col min="5914" max="5914" width="3.6640625" style="233" customWidth="1"/>
    <col min="5915" max="5915" width="10.6640625" style="233" customWidth="1"/>
    <col min="5916" max="5916" width="48.33203125" style="233" customWidth="1"/>
    <col min="5917" max="6144" width="11.44140625" style="233"/>
    <col min="6145" max="6145" width="2.6640625" style="233" customWidth="1"/>
    <col min="6146" max="6146" width="13.44140625" style="233" customWidth="1"/>
    <col min="6147" max="6149" width="2.6640625" style="233" customWidth="1"/>
    <col min="6150" max="6150" width="12" style="233" customWidth="1"/>
    <col min="6151" max="6151" width="80.6640625" style="233" customWidth="1"/>
    <col min="6152" max="6152" width="26" style="233" customWidth="1"/>
    <col min="6153" max="6153" width="36" style="233" bestFit="1" customWidth="1"/>
    <col min="6154" max="6154" width="3.6640625" style="233" customWidth="1"/>
    <col min="6155" max="6155" width="7.6640625" style="233" customWidth="1"/>
    <col min="6156" max="6161" width="3.6640625" style="233" customWidth="1"/>
    <col min="6162" max="6162" width="4.6640625" style="233" customWidth="1"/>
    <col min="6163" max="6163" width="3.6640625" style="233" customWidth="1"/>
    <col min="6164" max="6164" width="4.6640625" style="233" customWidth="1"/>
    <col min="6165" max="6167" width="3.6640625" style="233" customWidth="1"/>
    <col min="6168" max="6168" width="4.5546875" style="233" customWidth="1"/>
    <col min="6169" max="6169" width="6" style="233" bestFit="1" customWidth="1"/>
    <col min="6170" max="6170" width="3.6640625" style="233" customWidth="1"/>
    <col min="6171" max="6171" width="10.6640625" style="233" customWidth="1"/>
    <col min="6172" max="6172" width="48.33203125" style="233" customWidth="1"/>
    <col min="6173" max="6400" width="11.44140625" style="233"/>
    <col min="6401" max="6401" width="2.6640625" style="233" customWidth="1"/>
    <col min="6402" max="6402" width="13.44140625" style="233" customWidth="1"/>
    <col min="6403" max="6405" width="2.6640625" style="233" customWidth="1"/>
    <col min="6406" max="6406" width="12" style="233" customWidth="1"/>
    <col min="6407" max="6407" width="80.6640625" style="233" customWidth="1"/>
    <col min="6408" max="6408" width="26" style="233" customWidth="1"/>
    <col min="6409" max="6409" width="36" style="233" bestFit="1" customWidth="1"/>
    <col min="6410" max="6410" width="3.6640625" style="233" customWidth="1"/>
    <col min="6411" max="6411" width="7.6640625" style="233" customWidth="1"/>
    <col min="6412" max="6417" width="3.6640625" style="233" customWidth="1"/>
    <col min="6418" max="6418" width="4.6640625" style="233" customWidth="1"/>
    <col min="6419" max="6419" width="3.6640625" style="233" customWidth="1"/>
    <col min="6420" max="6420" width="4.6640625" style="233" customWidth="1"/>
    <col min="6421" max="6423" width="3.6640625" style="233" customWidth="1"/>
    <col min="6424" max="6424" width="4.5546875" style="233" customWidth="1"/>
    <col min="6425" max="6425" width="6" style="233" bestFit="1" customWidth="1"/>
    <col min="6426" max="6426" width="3.6640625" style="233" customWidth="1"/>
    <col min="6427" max="6427" width="10.6640625" style="233" customWidth="1"/>
    <col min="6428" max="6428" width="48.33203125" style="233" customWidth="1"/>
    <col min="6429" max="6656" width="11.44140625" style="233"/>
    <col min="6657" max="6657" width="2.6640625" style="233" customWidth="1"/>
    <col min="6658" max="6658" width="13.44140625" style="233" customWidth="1"/>
    <col min="6659" max="6661" width="2.6640625" style="233" customWidth="1"/>
    <col min="6662" max="6662" width="12" style="233" customWidth="1"/>
    <col min="6663" max="6663" width="80.6640625" style="233" customWidth="1"/>
    <col min="6664" max="6664" width="26" style="233" customWidth="1"/>
    <col min="6665" max="6665" width="36" style="233" bestFit="1" customWidth="1"/>
    <col min="6666" max="6666" width="3.6640625" style="233" customWidth="1"/>
    <col min="6667" max="6667" width="7.6640625" style="233" customWidth="1"/>
    <col min="6668" max="6673" width="3.6640625" style="233" customWidth="1"/>
    <col min="6674" max="6674" width="4.6640625" style="233" customWidth="1"/>
    <col min="6675" max="6675" width="3.6640625" style="233" customWidth="1"/>
    <col min="6676" max="6676" width="4.6640625" style="233" customWidth="1"/>
    <col min="6677" max="6679" width="3.6640625" style="233" customWidth="1"/>
    <col min="6680" max="6680" width="4.5546875" style="233" customWidth="1"/>
    <col min="6681" max="6681" width="6" style="233" bestFit="1" customWidth="1"/>
    <col min="6682" max="6682" width="3.6640625" style="233" customWidth="1"/>
    <col min="6683" max="6683" width="10.6640625" style="233" customWidth="1"/>
    <col min="6684" max="6684" width="48.33203125" style="233" customWidth="1"/>
    <col min="6685" max="6912" width="11.44140625" style="233"/>
    <col min="6913" max="6913" width="2.6640625" style="233" customWidth="1"/>
    <col min="6914" max="6914" width="13.44140625" style="233" customWidth="1"/>
    <col min="6915" max="6917" width="2.6640625" style="233" customWidth="1"/>
    <col min="6918" max="6918" width="12" style="233" customWidth="1"/>
    <col min="6919" max="6919" width="80.6640625" style="233" customWidth="1"/>
    <col min="6920" max="6920" width="26" style="233" customWidth="1"/>
    <col min="6921" max="6921" width="36" style="233" bestFit="1" customWidth="1"/>
    <col min="6922" max="6922" width="3.6640625" style="233" customWidth="1"/>
    <col min="6923" max="6923" width="7.6640625" style="233" customWidth="1"/>
    <col min="6924" max="6929" width="3.6640625" style="233" customWidth="1"/>
    <col min="6930" max="6930" width="4.6640625" style="233" customWidth="1"/>
    <col min="6931" max="6931" width="3.6640625" style="233" customWidth="1"/>
    <col min="6932" max="6932" width="4.6640625" style="233" customWidth="1"/>
    <col min="6933" max="6935" width="3.6640625" style="233" customWidth="1"/>
    <col min="6936" max="6936" width="4.5546875" style="233" customWidth="1"/>
    <col min="6937" max="6937" width="6" style="233" bestFit="1" customWidth="1"/>
    <col min="6938" max="6938" width="3.6640625" style="233" customWidth="1"/>
    <col min="6939" max="6939" width="10.6640625" style="233" customWidth="1"/>
    <col min="6940" max="6940" width="48.33203125" style="233" customWidth="1"/>
    <col min="6941" max="7168" width="11.44140625" style="233"/>
    <col min="7169" max="7169" width="2.6640625" style="233" customWidth="1"/>
    <col min="7170" max="7170" width="13.44140625" style="233" customWidth="1"/>
    <col min="7171" max="7173" width="2.6640625" style="233" customWidth="1"/>
    <col min="7174" max="7174" width="12" style="233" customWidth="1"/>
    <col min="7175" max="7175" width="80.6640625" style="233" customWidth="1"/>
    <col min="7176" max="7176" width="26" style="233" customWidth="1"/>
    <col min="7177" max="7177" width="36" style="233" bestFit="1" customWidth="1"/>
    <col min="7178" max="7178" width="3.6640625" style="233" customWidth="1"/>
    <col min="7179" max="7179" width="7.6640625" style="233" customWidth="1"/>
    <col min="7180" max="7185" width="3.6640625" style="233" customWidth="1"/>
    <col min="7186" max="7186" width="4.6640625" style="233" customWidth="1"/>
    <col min="7187" max="7187" width="3.6640625" style="233" customWidth="1"/>
    <col min="7188" max="7188" width="4.6640625" style="233" customWidth="1"/>
    <col min="7189" max="7191" width="3.6640625" style="233" customWidth="1"/>
    <col min="7192" max="7192" width="4.5546875" style="233" customWidth="1"/>
    <col min="7193" max="7193" width="6" style="233" bestFit="1" customWidth="1"/>
    <col min="7194" max="7194" width="3.6640625" style="233" customWidth="1"/>
    <col min="7195" max="7195" width="10.6640625" style="233" customWidth="1"/>
    <col min="7196" max="7196" width="48.33203125" style="233" customWidth="1"/>
    <col min="7197" max="7424" width="11.44140625" style="233"/>
    <col min="7425" max="7425" width="2.6640625" style="233" customWidth="1"/>
    <col min="7426" max="7426" width="13.44140625" style="233" customWidth="1"/>
    <col min="7427" max="7429" width="2.6640625" style="233" customWidth="1"/>
    <col min="7430" max="7430" width="12" style="233" customWidth="1"/>
    <col min="7431" max="7431" width="80.6640625" style="233" customWidth="1"/>
    <col min="7432" max="7432" width="26" style="233" customWidth="1"/>
    <col min="7433" max="7433" width="36" style="233" bestFit="1" customWidth="1"/>
    <col min="7434" max="7434" width="3.6640625" style="233" customWidth="1"/>
    <col min="7435" max="7435" width="7.6640625" style="233" customWidth="1"/>
    <col min="7436" max="7441" width="3.6640625" style="233" customWidth="1"/>
    <col min="7442" max="7442" width="4.6640625" style="233" customWidth="1"/>
    <col min="7443" max="7443" width="3.6640625" style="233" customWidth="1"/>
    <col min="7444" max="7444" width="4.6640625" style="233" customWidth="1"/>
    <col min="7445" max="7447" width="3.6640625" style="233" customWidth="1"/>
    <col min="7448" max="7448" width="4.5546875" style="233" customWidth="1"/>
    <col min="7449" max="7449" width="6" style="233" bestFit="1" customWidth="1"/>
    <col min="7450" max="7450" width="3.6640625" style="233" customWidth="1"/>
    <col min="7451" max="7451" width="10.6640625" style="233" customWidth="1"/>
    <col min="7452" max="7452" width="48.33203125" style="233" customWidth="1"/>
    <col min="7453" max="7680" width="11.44140625" style="233"/>
    <col min="7681" max="7681" width="2.6640625" style="233" customWidth="1"/>
    <col min="7682" max="7682" width="13.44140625" style="233" customWidth="1"/>
    <col min="7683" max="7685" width="2.6640625" style="233" customWidth="1"/>
    <col min="7686" max="7686" width="12" style="233" customWidth="1"/>
    <col min="7687" max="7687" width="80.6640625" style="233" customWidth="1"/>
    <col min="7688" max="7688" width="26" style="233" customWidth="1"/>
    <col min="7689" max="7689" width="36" style="233" bestFit="1" customWidth="1"/>
    <col min="7690" max="7690" width="3.6640625" style="233" customWidth="1"/>
    <col min="7691" max="7691" width="7.6640625" style="233" customWidth="1"/>
    <col min="7692" max="7697" width="3.6640625" style="233" customWidth="1"/>
    <col min="7698" max="7698" width="4.6640625" style="233" customWidth="1"/>
    <col min="7699" max="7699" width="3.6640625" style="233" customWidth="1"/>
    <col min="7700" max="7700" width="4.6640625" style="233" customWidth="1"/>
    <col min="7701" max="7703" width="3.6640625" style="233" customWidth="1"/>
    <col min="7704" max="7704" width="4.5546875" style="233" customWidth="1"/>
    <col min="7705" max="7705" width="6" style="233" bestFit="1" customWidth="1"/>
    <col min="7706" max="7706" width="3.6640625" style="233" customWidth="1"/>
    <col min="7707" max="7707" width="10.6640625" style="233" customWidth="1"/>
    <col min="7708" max="7708" width="48.33203125" style="233" customWidth="1"/>
    <col min="7709" max="7936" width="11.44140625" style="233"/>
    <col min="7937" max="7937" width="2.6640625" style="233" customWidth="1"/>
    <col min="7938" max="7938" width="13.44140625" style="233" customWidth="1"/>
    <col min="7939" max="7941" width="2.6640625" style="233" customWidth="1"/>
    <col min="7942" max="7942" width="12" style="233" customWidth="1"/>
    <col min="7943" max="7943" width="80.6640625" style="233" customWidth="1"/>
    <col min="7944" max="7944" width="26" style="233" customWidth="1"/>
    <col min="7945" max="7945" width="36" style="233" bestFit="1" customWidth="1"/>
    <col min="7946" max="7946" width="3.6640625" style="233" customWidth="1"/>
    <col min="7947" max="7947" width="7.6640625" style="233" customWidth="1"/>
    <col min="7948" max="7953" width="3.6640625" style="233" customWidth="1"/>
    <col min="7954" max="7954" width="4.6640625" style="233" customWidth="1"/>
    <col min="7955" max="7955" width="3.6640625" style="233" customWidth="1"/>
    <col min="7956" max="7956" width="4.6640625" style="233" customWidth="1"/>
    <col min="7957" max="7959" width="3.6640625" style="233" customWidth="1"/>
    <col min="7960" max="7960" width="4.5546875" style="233" customWidth="1"/>
    <col min="7961" max="7961" width="6" style="233" bestFit="1" customWidth="1"/>
    <col min="7962" max="7962" width="3.6640625" style="233" customWidth="1"/>
    <col min="7963" max="7963" width="10.6640625" style="233" customWidth="1"/>
    <col min="7964" max="7964" width="48.33203125" style="233" customWidth="1"/>
    <col min="7965" max="8192" width="11.44140625" style="233"/>
    <col min="8193" max="8193" width="2.6640625" style="233" customWidth="1"/>
    <col min="8194" max="8194" width="13.44140625" style="233" customWidth="1"/>
    <col min="8195" max="8197" width="2.6640625" style="233" customWidth="1"/>
    <col min="8198" max="8198" width="12" style="233" customWidth="1"/>
    <col min="8199" max="8199" width="80.6640625" style="233" customWidth="1"/>
    <col min="8200" max="8200" width="26" style="233" customWidth="1"/>
    <col min="8201" max="8201" width="36" style="233" bestFit="1" customWidth="1"/>
    <col min="8202" max="8202" width="3.6640625" style="233" customWidth="1"/>
    <col min="8203" max="8203" width="7.6640625" style="233" customWidth="1"/>
    <col min="8204" max="8209" width="3.6640625" style="233" customWidth="1"/>
    <col min="8210" max="8210" width="4.6640625" style="233" customWidth="1"/>
    <col min="8211" max="8211" width="3.6640625" style="233" customWidth="1"/>
    <col min="8212" max="8212" width="4.6640625" style="233" customWidth="1"/>
    <col min="8213" max="8215" width="3.6640625" style="233" customWidth="1"/>
    <col min="8216" max="8216" width="4.5546875" style="233" customWidth="1"/>
    <col min="8217" max="8217" width="6" style="233" bestFit="1" customWidth="1"/>
    <col min="8218" max="8218" width="3.6640625" style="233" customWidth="1"/>
    <col min="8219" max="8219" width="10.6640625" style="233" customWidth="1"/>
    <col min="8220" max="8220" width="48.33203125" style="233" customWidth="1"/>
    <col min="8221" max="8448" width="11.44140625" style="233"/>
    <col min="8449" max="8449" width="2.6640625" style="233" customWidth="1"/>
    <col min="8450" max="8450" width="13.44140625" style="233" customWidth="1"/>
    <col min="8451" max="8453" width="2.6640625" style="233" customWidth="1"/>
    <col min="8454" max="8454" width="12" style="233" customWidth="1"/>
    <col min="8455" max="8455" width="80.6640625" style="233" customWidth="1"/>
    <col min="8456" max="8456" width="26" style="233" customWidth="1"/>
    <col min="8457" max="8457" width="36" style="233" bestFit="1" customWidth="1"/>
    <col min="8458" max="8458" width="3.6640625" style="233" customWidth="1"/>
    <col min="8459" max="8459" width="7.6640625" style="233" customWidth="1"/>
    <col min="8460" max="8465" width="3.6640625" style="233" customWidth="1"/>
    <col min="8466" max="8466" width="4.6640625" style="233" customWidth="1"/>
    <col min="8467" max="8467" width="3.6640625" style="233" customWidth="1"/>
    <col min="8468" max="8468" width="4.6640625" style="233" customWidth="1"/>
    <col min="8469" max="8471" width="3.6640625" style="233" customWidth="1"/>
    <col min="8472" max="8472" width="4.5546875" style="233" customWidth="1"/>
    <col min="8473" max="8473" width="6" style="233" bestFit="1" customWidth="1"/>
    <col min="8474" max="8474" width="3.6640625" style="233" customWidth="1"/>
    <col min="8475" max="8475" width="10.6640625" style="233" customWidth="1"/>
    <col min="8476" max="8476" width="48.33203125" style="233" customWidth="1"/>
    <col min="8477" max="8704" width="11.44140625" style="233"/>
    <col min="8705" max="8705" width="2.6640625" style="233" customWidth="1"/>
    <col min="8706" max="8706" width="13.44140625" style="233" customWidth="1"/>
    <col min="8707" max="8709" width="2.6640625" style="233" customWidth="1"/>
    <col min="8710" max="8710" width="12" style="233" customWidth="1"/>
    <col min="8711" max="8711" width="80.6640625" style="233" customWidth="1"/>
    <col min="8712" max="8712" width="26" style="233" customWidth="1"/>
    <col min="8713" max="8713" width="36" style="233" bestFit="1" customWidth="1"/>
    <col min="8714" max="8714" width="3.6640625" style="233" customWidth="1"/>
    <col min="8715" max="8715" width="7.6640625" style="233" customWidth="1"/>
    <col min="8716" max="8721" width="3.6640625" style="233" customWidth="1"/>
    <col min="8722" max="8722" width="4.6640625" style="233" customWidth="1"/>
    <col min="8723" max="8723" width="3.6640625" style="233" customWidth="1"/>
    <col min="8724" max="8724" width="4.6640625" style="233" customWidth="1"/>
    <col min="8725" max="8727" width="3.6640625" style="233" customWidth="1"/>
    <col min="8728" max="8728" width="4.5546875" style="233" customWidth="1"/>
    <col min="8729" max="8729" width="6" style="233" bestFit="1" customWidth="1"/>
    <col min="8730" max="8730" width="3.6640625" style="233" customWidth="1"/>
    <col min="8731" max="8731" width="10.6640625" style="233" customWidth="1"/>
    <col min="8732" max="8732" width="48.33203125" style="233" customWidth="1"/>
    <col min="8733" max="8960" width="11.44140625" style="233"/>
    <col min="8961" max="8961" width="2.6640625" style="233" customWidth="1"/>
    <col min="8962" max="8962" width="13.44140625" style="233" customWidth="1"/>
    <col min="8963" max="8965" width="2.6640625" style="233" customWidth="1"/>
    <col min="8966" max="8966" width="12" style="233" customWidth="1"/>
    <col min="8967" max="8967" width="80.6640625" style="233" customWidth="1"/>
    <col min="8968" max="8968" width="26" style="233" customWidth="1"/>
    <col min="8969" max="8969" width="36" style="233" bestFit="1" customWidth="1"/>
    <col min="8970" max="8970" width="3.6640625" style="233" customWidth="1"/>
    <col min="8971" max="8971" width="7.6640625" style="233" customWidth="1"/>
    <col min="8972" max="8977" width="3.6640625" style="233" customWidth="1"/>
    <col min="8978" max="8978" width="4.6640625" style="233" customWidth="1"/>
    <col min="8979" max="8979" width="3.6640625" style="233" customWidth="1"/>
    <col min="8980" max="8980" width="4.6640625" style="233" customWidth="1"/>
    <col min="8981" max="8983" width="3.6640625" style="233" customWidth="1"/>
    <col min="8984" max="8984" width="4.5546875" style="233" customWidth="1"/>
    <col min="8985" max="8985" width="6" style="233" bestFit="1" customWidth="1"/>
    <col min="8986" max="8986" width="3.6640625" style="233" customWidth="1"/>
    <col min="8987" max="8987" width="10.6640625" style="233" customWidth="1"/>
    <col min="8988" max="8988" width="48.33203125" style="233" customWidth="1"/>
    <col min="8989" max="9216" width="11.44140625" style="233"/>
    <col min="9217" max="9217" width="2.6640625" style="233" customWidth="1"/>
    <col min="9218" max="9218" width="13.44140625" style="233" customWidth="1"/>
    <col min="9219" max="9221" width="2.6640625" style="233" customWidth="1"/>
    <col min="9222" max="9222" width="12" style="233" customWidth="1"/>
    <col min="9223" max="9223" width="80.6640625" style="233" customWidth="1"/>
    <col min="9224" max="9224" width="26" style="233" customWidth="1"/>
    <col min="9225" max="9225" width="36" style="233" bestFit="1" customWidth="1"/>
    <col min="9226" max="9226" width="3.6640625" style="233" customWidth="1"/>
    <col min="9227" max="9227" width="7.6640625" style="233" customWidth="1"/>
    <col min="9228" max="9233" width="3.6640625" style="233" customWidth="1"/>
    <col min="9234" max="9234" width="4.6640625" style="233" customWidth="1"/>
    <col min="9235" max="9235" width="3.6640625" style="233" customWidth="1"/>
    <col min="9236" max="9236" width="4.6640625" style="233" customWidth="1"/>
    <col min="9237" max="9239" width="3.6640625" style="233" customWidth="1"/>
    <col min="9240" max="9240" width="4.5546875" style="233" customWidth="1"/>
    <col min="9241" max="9241" width="6" style="233" bestFit="1" customWidth="1"/>
    <col min="9242" max="9242" width="3.6640625" style="233" customWidth="1"/>
    <col min="9243" max="9243" width="10.6640625" style="233" customWidth="1"/>
    <col min="9244" max="9244" width="48.33203125" style="233" customWidth="1"/>
    <col min="9245" max="9472" width="11.44140625" style="233"/>
    <col min="9473" max="9473" width="2.6640625" style="233" customWidth="1"/>
    <col min="9474" max="9474" width="13.44140625" style="233" customWidth="1"/>
    <col min="9475" max="9477" width="2.6640625" style="233" customWidth="1"/>
    <col min="9478" max="9478" width="12" style="233" customWidth="1"/>
    <col min="9479" max="9479" width="80.6640625" style="233" customWidth="1"/>
    <col min="9480" max="9480" width="26" style="233" customWidth="1"/>
    <col min="9481" max="9481" width="36" style="233" bestFit="1" customWidth="1"/>
    <col min="9482" max="9482" width="3.6640625" style="233" customWidth="1"/>
    <col min="9483" max="9483" width="7.6640625" style="233" customWidth="1"/>
    <col min="9484" max="9489" width="3.6640625" style="233" customWidth="1"/>
    <col min="9490" max="9490" width="4.6640625" style="233" customWidth="1"/>
    <col min="9491" max="9491" width="3.6640625" style="233" customWidth="1"/>
    <col min="9492" max="9492" width="4.6640625" style="233" customWidth="1"/>
    <col min="9493" max="9495" width="3.6640625" style="233" customWidth="1"/>
    <col min="9496" max="9496" width="4.5546875" style="233" customWidth="1"/>
    <col min="9497" max="9497" width="6" style="233" bestFit="1" customWidth="1"/>
    <col min="9498" max="9498" width="3.6640625" style="233" customWidth="1"/>
    <col min="9499" max="9499" width="10.6640625" style="233" customWidth="1"/>
    <col min="9500" max="9500" width="48.33203125" style="233" customWidth="1"/>
    <col min="9501" max="9728" width="11.44140625" style="233"/>
    <col min="9729" max="9729" width="2.6640625" style="233" customWidth="1"/>
    <col min="9730" max="9730" width="13.44140625" style="233" customWidth="1"/>
    <col min="9731" max="9733" width="2.6640625" style="233" customWidth="1"/>
    <col min="9734" max="9734" width="12" style="233" customWidth="1"/>
    <col min="9735" max="9735" width="80.6640625" style="233" customWidth="1"/>
    <col min="9736" max="9736" width="26" style="233" customWidth="1"/>
    <col min="9737" max="9737" width="36" style="233" bestFit="1" customWidth="1"/>
    <col min="9738" max="9738" width="3.6640625" style="233" customWidth="1"/>
    <col min="9739" max="9739" width="7.6640625" style="233" customWidth="1"/>
    <col min="9740" max="9745" width="3.6640625" style="233" customWidth="1"/>
    <col min="9746" max="9746" width="4.6640625" style="233" customWidth="1"/>
    <col min="9747" max="9747" width="3.6640625" style="233" customWidth="1"/>
    <col min="9748" max="9748" width="4.6640625" style="233" customWidth="1"/>
    <col min="9749" max="9751" width="3.6640625" style="233" customWidth="1"/>
    <col min="9752" max="9752" width="4.5546875" style="233" customWidth="1"/>
    <col min="9753" max="9753" width="6" style="233" bestFit="1" customWidth="1"/>
    <col min="9754" max="9754" width="3.6640625" style="233" customWidth="1"/>
    <col min="9755" max="9755" width="10.6640625" style="233" customWidth="1"/>
    <col min="9756" max="9756" width="48.33203125" style="233" customWidth="1"/>
    <col min="9757" max="9984" width="11.44140625" style="233"/>
    <col min="9985" max="9985" width="2.6640625" style="233" customWidth="1"/>
    <col min="9986" max="9986" width="13.44140625" style="233" customWidth="1"/>
    <col min="9987" max="9989" width="2.6640625" style="233" customWidth="1"/>
    <col min="9990" max="9990" width="12" style="233" customWidth="1"/>
    <col min="9991" max="9991" width="80.6640625" style="233" customWidth="1"/>
    <col min="9992" max="9992" width="26" style="233" customWidth="1"/>
    <col min="9993" max="9993" width="36" style="233" bestFit="1" customWidth="1"/>
    <col min="9994" max="9994" width="3.6640625" style="233" customWidth="1"/>
    <col min="9995" max="9995" width="7.6640625" style="233" customWidth="1"/>
    <col min="9996" max="10001" width="3.6640625" style="233" customWidth="1"/>
    <col min="10002" max="10002" width="4.6640625" style="233" customWidth="1"/>
    <col min="10003" max="10003" width="3.6640625" style="233" customWidth="1"/>
    <col min="10004" max="10004" width="4.6640625" style="233" customWidth="1"/>
    <col min="10005" max="10007" width="3.6640625" style="233" customWidth="1"/>
    <col min="10008" max="10008" width="4.5546875" style="233" customWidth="1"/>
    <col min="10009" max="10009" width="6" style="233" bestFit="1" customWidth="1"/>
    <col min="10010" max="10010" width="3.6640625" style="233" customWidth="1"/>
    <col min="10011" max="10011" width="10.6640625" style="233" customWidth="1"/>
    <col min="10012" max="10012" width="48.33203125" style="233" customWidth="1"/>
    <col min="10013" max="10240" width="11.44140625" style="233"/>
    <col min="10241" max="10241" width="2.6640625" style="233" customWidth="1"/>
    <col min="10242" max="10242" width="13.44140625" style="233" customWidth="1"/>
    <col min="10243" max="10245" width="2.6640625" style="233" customWidth="1"/>
    <col min="10246" max="10246" width="12" style="233" customWidth="1"/>
    <col min="10247" max="10247" width="80.6640625" style="233" customWidth="1"/>
    <col min="10248" max="10248" width="26" style="233" customWidth="1"/>
    <col min="10249" max="10249" width="36" style="233" bestFit="1" customWidth="1"/>
    <col min="10250" max="10250" width="3.6640625" style="233" customWidth="1"/>
    <col min="10251" max="10251" width="7.6640625" style="233" customWidth="1"/>
    <col min="10252" max="10257" width="3.6640625" style="233" customWidth="1"/>
    <col min="10258" max="10258" width="4.6640625" style="233" customWidth="1"/>
    <col min="10259" max="10259" width="3.6640625" style="233" customWidth="1"/>
    <col min="10260" max="10260" width="4.6640625" style="233" customWidth="1"/>
    <col min="10261" max="10263" width="3.6640625" style="233" customWidth="1"/>
    <col min="10264" max="10264" width="4.5546875" style="233" customWidth="1"/>
    <col min="10265" max="10265" width="6" style="233" bestFit="1" customWidth="1"/>
    <col min="10266" max="10266" width="3.6640625" style="233" customWidth="1"/>
    <col min="10267" max="10267" width="10.6640625" style="233" customWidth="1"/>
    <col min="10268" max="10268" width="48.33203125" style="233" customWidth="1"/>
    <col min="10269" max="10496" width="11.44140625" style="233"/>
    <col min="10497" max="10497" width="2.6640625" style="233" customWidth="1"/>
    <col min="10498" max="10498" width="13.44140625" style="233" customWidth="1"/>
    <col min="10499" max="10501" width="2.6640625" style="233" customWidth="1"/>
    <col min="10502" max="10502" width="12" style="233" customWidth="1"/>
    <col min="10503" max="10503" width="80.6640625" style="233" customWidth="1"/>
    <col min="10504" max="10504" width="26" style="233" customWidth="1"/>
    <col min="10505" max="10505" width="36" style="233" bestFit="1" customWidth="1"/>
    <col min="10506" max="10506" width="3.6640625" style="233" customWidth="1"/>
    <col min="10507" max="10507" width="7.6640625" style="233" customWidth="1"/>
    <col min="10508" max="10513" width="3.6640625" style="233" customWidth="1"/>
    <col min="10514" max="10514" width="4.6640625" style="233" customWidth="1"/>
    <col min="10515" max="10515" width="3.6640625" style="233" customWidth="1"/>
    <col min="10516" max="10516" width="4.6640625" style="233" customWidth="1"/>
    <col min="10517" max="10519" width="3.6640625" style="233" customWidth="1"/>
    <col min="10520" max="10520" width="4.5546875" style="233" customWidth="1"/>
    <col min="10521" max="10521" width="6" style="233" bestFit="1" customWidth="1"/>
    <col min="10522" max="10522" width="3.6640625" style="233" customWidth="1"/>
    <col min="10523" max="10523" width="10.6640625" style="233" customWidth="1"/>
    <col min="10524" max="10524" width="48.33203125" style="233" customWidth="1"/>
    <col min="10525" max="10752" width="11.44140625" style="233"/>
    <col min="10753" max="10753" width="2.6640625" style="233" customWidth="1"/>
    <col min="10754" max="10754" width="13.44140625" style="233" customWidth="1"/>
    <col min="10755" max="10757" width="2.6640625" style="233" customWidth="1"/>
    <col min="10758" max="10758" width="12" style="233" customWidth="1"/>
    <col min="10759" max="10759" width="80.6640625" style="233" customWidth="1"/>
    <col min="10760" max="10760" width="26" style="233" customWidth="1"/>
    <col min="10761" max="10761" width="36" style="233" bestFit="1" customWidth="1"/>
    <col min="10762" max="10762" width="3.6640625" style="233" customWidth="1"/>
    <col min="10763" max="10763" width="7.6640625" style="233" customWidth="1"/>
    <col min="10764" max="10769" width="3.6640625" style="233" customWidth="1"/>
    <col min="10770" max="10770" width="4.6640625" style="233" customWidth="1"/>
    <col min="10771" max="10771" width="3.6640625" style="233" customWidth="1"/>
    <col min="10772" max="10772" width="4.6640625" style="233" customWidth="1"/>
    <col min="10773" max="10775" width="3.6640625" style="233" customWidth="1"/>
    <col min="10776" max="10776" width="4.5546875" style="233" customWidth="1"/>
    <col min="10777" max="10777" width="6" style="233" bestFit="1" customWidth="1"/>
    <col min="10778" max="10778" width="3.6640625" style="233" customWidth="1"/>
    <col min="10779" max="10779" width="10.6640625" style="233" customWidth="1"/>
    <col min="10780" max="10780" width="48.33203125" style="233" customWidth="1"/>
    <col min="10781" max="11008" width="11.44140625" style="233"/>
    <col min="11009" max="11009" width="2.6640625" style="233" customWidth="1"/>
    <col min="11010" max="11010" width="13.44140625" style="233" customWidth="1"/>
    <col min="11011" max="11013" width="2.6640625" style="233" customWidth="1"/>
    <col min="11014" max="11014" width="12" style="233" customWidth="1"/>
    <col min="11015" max="11015" width="80.6640625" style="233" customWidth="1"/>
    <col min="11016" max="11016" width="26" style="233" customWidth="1"/>
    <col min="11017" max="11017" width="36" style="233" bestFit="1" customWidth="1"/>
    <col min="11018" max="11018" width="3.6640625" style="233" customWidth="1"/>
    <col min="11019" max="11019" width="7.6640625" style="233" customWidth="1"/>
    <col min="11020" max="11025" width="3.6640625" style="233" customWidth="1"/>
    <col min="11026" max="11026" width="4.6640625" style="233" customWidth="1"/>
    <col min="11027" max="11027" width="3.6640625" style="233" customWidth="1"/>
    <col min="11028" max="11028" width="4.6640625" style="233" customWidth="1"/>
    <col min="11029" max="11031" width="3.6640625" style="233" customWidth="1"/>
    <col min="11032" max="11032" width="4.5546875" style="233" customWidth="1"/>
    <col min="11033" max="11033" width="6" style="233" bestFit="1" customWidth="1"/>
    <col min="11034" max="11034" width="3.6640625" style="233" customWidth="1"/>
    <col min="11035" max="11035" width="10.6640625" style="233" customWidth="1"/>
    <col min="11036" max="11036" width="48.33203125" style="233" customWidth="1"/>
    <col min="11037" max="11264" width="11.44140625" style="233"/>
    <col min="11265" max="11265" width="2.6640625" style="233" customWidth="1"/>
    <col min="11266" max="11266" width="13.44140625" style="233" customWidth="1"/>
    <col min="11267" max="11269" width="2.6640625" style="233" customWidth="1"/>
    <col min="11270" max="11270" width="12" style="233" customWidth="1"/>
    <col min="11271" max="11271" width="80.6640625" style="233" customWidth="1"/>
    <col min="11272" max="11272" width="26" style="233" customWidth="1"/>
    <col min="11273" max="11273" width="36" style="233" bestFit="1" customWidth="1"/>
    <col min="11274" max="11274" width="3.6640625" style="233" customWidth="1"/>
    <col min="11275" max="11275" width="7.6640625" style="233" customWidth="1"/>
    <col min="11276" max="11281" width="3.6640625" style="233" customWidth="1"/>
    <col min="11282" max="11282" width="4.6640625" style="233" customWidth="1"/>
    <col min="11283" max="11283" width="3.6640625" style="233" customWidth="1"/>
    <col min="11284" max="11284" width="4.6640625" style="233" customWidth="1"/>
    <col min="11285" max="11287" width="3.6640625" style="233" customWidth="1"/>
    <col min="11288" max="11288" width="4.5546875" style="233" customWidth="1"/>
    <col min="11289" max="11289" width="6" style="233" bestFit="1" customWidth="1"/>
    <col min="11290" max="11290" width="3.6640625" style="233" customWidth="1"/>
    <col min="11291" max="11291" width="10.6640625" style="233" customWidth="1"/>
    <col min="11292" max="11292" width="48.33203125" style="233" customWidth="1"/>
    <col min="11293" max="11520" width="11.44140625" style="233"/>
    <col min="11521" max="11521" width="2.6640625" style="233" customWidth="1"/>
    <col min="11522" max="11522" width="13.44140625" style="233" customWidth="1"/>
    <col min="11523" max="11525" width="2.6640625" style="233" customWidth="1"/>
    <col min="11526" max="11526" width="12" style="233" customWidth="1"/>
    <col min="11527" max="11527" width="80.6640625" style="233" customWidth="1"/>
    <col min="11528" max="11528" width="26" style="233" customWidth="1"/>
    <col min="11529" max="11529" width="36" style="233" bestFit="1" customWidth="1"/>
    <col min="11530" max="11530" width="3.6640625" style="233" customWidth="1"/>
    <col min="11531" max="11531" width="7.6640625" style="233" customWidth="1"/>
    <col min="11532" max="11537" width="3.6640625" style="233" customWidth="1"/>
    <col min="11538" max="11538" width="4.6640625" style="233" customWidth="1"/>
    <col min="11539" max="11539" width="3.6640625" style="233" customWidth="1"/>
    <col min="11540" max="11540" width="4.6640625" style="233" customWidth="1"/>
    <col min="11541" max="11543" width="3.6640625" style="233" customWidth="1"/>
    <col min="11544" max="11544" width="4.5546875" style="233" customWidth="1"/>
    <col min="11545" max="11545" width="6" style="233" bestFit="1" customWidth="1"/>
    <col min="11546" max="11546" width="3.6640625" style="233" customWidth="1"/>
    <col min="11547" max="11547" width="10.6640625" style="233" customWidth="1"/>
    <col min="11548" max="11548" width="48.33203125" style="233" customWidth="1"/>
    <col min="11549" max="11776" width="11.44140625" style="233"/>
    <col min="11777" max="11777" width="2.6640625" style="233" customWidth="1"/>
    <col min="11778" max="11778" width="13.44140625" style="233" customWidth="1"/>
    <col min="11779" max="11781" width="2.6640625" style="233" customWidth="1"/>
    <col min="11782" max="11782" width="12" style="233" customWidth="1"/>
    <col min="11783" max="11783" width="80.6640625" style="233" customWidth="1"/>
    <col min="11784" max="11784" width="26" style="233" customWidth="1"/>
    <col min="11785" max="11785" width="36" style="233" bestFit="1" customWidth="1"/>
    <col min="11786" max="11786" width="3.6640625" style="233" customWidth="1"/>
    <col min="11787" max="11787" width="7.6640625" style="233" customWidth="1"/>
    <col min="11788" max="11793" width="3.6640625" style="233" customWidth="1"/>
    <col min="11794" max="11794" width="4.6640625" style="233" customWidth="1"/>
    <col min="11795" max="11795" width="3.6640625" style="233" customWidth="1"/>
    <col min="11796" max="11796" width="4.6640625" style="233" customWidth="1"/>
    <col min="11797" max="11799" width="3.6640625" style="233" customWidth="1"/>
    <col min="11800" max="11800" width="4.5546875" style="233" customWidth="1"/>
    <col min="11801" max="11801" width="6" style="233" bestFit="1" customWidth="1"/>
    <col min="11802" max="11802" width="3.6640625" style="233" customWidth="1"/>
    <col min="11803" max="11803" width="10.6640625" style="233" customWidth="1"/>
    <col min="11804" max="11804" width="48.33203125" style="233" customWidth="1"/>
    <col min="11805" max="12032" width="11.44140625" style="233"/>
    <col min="12033" max="12033" width="2.6640625" style="233" customWidth="1"/>
    <col min="12034" max="12034" width="13.44140625" style="233" customWidth="1"/>
    <col min="12035" max="12037" width="2.6640625" style="233" customWidth="1"/>
    <col min="12038" max="12038" width="12" style="233" customWidth="1"/>
    <col min="12039" max="12039" width="80.6640625" style="233" customWidth="1"/>
    <col min="12040" max="12040" width="26" style="233" customWidth="1"/>
    <col min="12041" max="12041" width="36" style="233" bestFit="1" customWidth="1"/>
    <col min="12042" max="12042" width="3.6640625" style="233" customWidth="1"/>
    <col min="12043" max="12043" width="7.6640625" style="233" customWidth="1"/>
    <col min="12044" max="12049" width="3.6640625" style="233" customWidth="1"/>
    <col min="12050" max="12050" width="4.6640625" style="233" customWidth="1"/>
    <col min="12051" max="12051" width="3.6640625" style="233" customWidth="1"/>
    <col min="12052" max="12052" width="4.6640625" style="233" customWidth="1"/>
    <col min="12053" max="12055" width="3.6640625" style="233" customWidth="1"/>
    <col min="12056" max="12056" width="4.5546875" style="233" customWidth="1"/>
    <col min="12057" max="12057" width="6" style="233" bestFit="1" customWidth="1"/>
    <col min="12058" max="12058" width="3.6640625" style="233" customWidth="1"/>
    <col min="12059" max="12059" width="10.6640625" style="233" customWidth="1"/>
    <col min="12060" max="12060" width="48.33203125" style="233" customWidth="1"/>
    <col min="12061" max="12288" width="11.44140625" style="233"/>
    <col min="12289" max="12289" width="2.6640625" style="233" customWidth="1"/>
    <col min="12290" max="12290" width="13.44140625" style="233" customWidth="1"/>
    <col min="12291" max="12293" width="2.6640625" style="233" customWidth="1"/>
    <col min="12294" max="12294" width="12" style="233" customWidth="1"/>
    <col min="12295" max="12295" width="80.6640625" style="233" customWidth="1"/>
    <col min="12296" max="12296" width="26" style="233" customWidth="1"/>
    <col min="12297" max="12297" width="36" style="233" bestFit="1" customWidth="1"/>
    <col min="12298" max="12298" width="3.6640625" style="233" customWidth="1"/>
    <col min="12299" max="12299" width="7.6640625" style="233" customWidth="1"/>
    <col min="12300" max="12305" width="3.6640625" style="233" customWidth="1"/>
    <col min="12306" max="12306" width="4.6640625" style="233" customWidth="1"/>
    <col min="12307" max="12307" width="3.6640625" style="233" customWidth="1"/>
    <col min="12308" max="12308" width="4.6640625" style="233" customWidth="1"/>
    <col min="12309" max="12311" width="3.6640625" style="233" customWidth="1"/>
    <col min="12312" max="12312" width="4.5546875" style="233" customWidth="1"/>
    <col min="12313" max="12313" width="6" style="233" bestFit="1" customWidth="1"/>
    <col min="12314" max="12314" width="3.6640625" style="233" customWidth="1"/>
    <col min="12315" max="12315" width="10.6640625" style="233" customWidth="1"/>
    <col min="12316" max="12316" width="48.33203125" style="233" customWidth="1"/>
    <col min="12317" max="12544" width="11.44140625" style="233"/>
    <col min="12545" max="12545" width="2.6640625" style="233" customWidth="1"/>
    <col min="12546" max="12546" width="13.44140625" style="233" customWidth="1"/>
    <col min="12547" max="12549" width="2.6640625" style="233" customWidth="1"/>
    <col min="12550" max="12550" width="12" style="233" customWidth="1"/>
    <col min="12551" max="12551" width="80.6640625" style="233" customWidth="1"/>
    <col min="12552" max="12552" width="26" style="233" customWidth="1"/>
    <col min="12553" max="12553" width="36" style="233" bestFit="1" customWidth="1"/>
    <col min="12554" max="12554" width="3.6640625" style="233" customWidth="1"/>
    <col min="12555" max="12555" width="7.6640625" style="233" customWidth="1"/>
    <col min="12556" max="12561" width="3.6640625" style="233" customWidth="1"/>
    <col min="12562" max="12562" width="4.6640625" style="233" customWidth="1"/>
    <col min="12563" max="12563" width="3.6640625" style="233" customWidth="1"/>
    <col min="12564" max="12564" width="4.6640625" style="233" customWidth="1"/>
    <col min="12565" max="12567" width="3.6640625" style="233" customWidth="1"/>
    <col min="12568" max="12568" width="4.5546875" style="233" customWidth="1"/>
    <col min="12569" max="12569" width="6" style="233" bestFit="1" customWidth="1"/>
    <col min="12570" max="12570" width="3.6640625" style="233" customWidth="1"/>
    <col min="12571" max="12571" width="10.6640625" style="233" customWidth="1"/>
    <col min="12572" max="12572" width="48.33203125" style="233" customWidth="1"/>
    <col min="12573" max="12800" width="11.44140625" style="233"/>
    <col min="12801" max="12801" width="2.6640625" style="233" customWidth="1"/>
    <col min="12802" max="12802" width="13.44140625" style="233" customWidth="1"/>
    <col min="12803" max="12805" width="2.6640625" style="233" customWidth="1"/>
    <col min="12806" max="12806" width="12" style="233" customWidth="1"/>
    <col min="12807" max="12807" width="80.6640625" style="233" customWidth="1"/>
    <col min="12808" max="12808" width="26" style="233" customWidth="1"/>
    <col min="12809" max="12809" width="36" style="233" bestFit="1" customWidth="1"/>
    <col min="12810" max="12810" width="3.6640625" style="233" customWidth="1"/>
    <col min="12811" max="12811" width="7.6640625" style="233" customWidth="1"/>
    <col min="12812" max="12817" width="3.6640625" style="233" customWidth="1"/>
    <col min="12818" max="12818" width="4.6640625" style="233" customWidth="1"/>
    <col min="12819" max="12819" width="3.6640625" style="233" customWidth="1"/>
    <col min="12820" max="12820" width="4.6640625" style="233" customWidth="1"/>
    <col min="12821" max="12823" width="3.6640625" style="233" customWidth="1"/>
    <col min="12824" max="12824" width="4.5546875" style="233" customWidth="1"/>
    <col min="12825" max="12825" width="6" style="233" bestFit="1" customWidth="1"/>
    <col min="12826" max="12826" width="3.6640625" style="233" customWidth="1"/>
    <col min="12827" max="12827" width="10.6640625" style="233" customWidth="1"/>
    <col min="12828" max="12828" width="48.33203125" style="233" customWidth="1"/>
    <col min="12829" max="13056" width="11.44140625" style="233"/>
    <col min="13057" max="13057" width="2.6640625" style="233" customWidth="1"/>
    <col min="13058" max="13058" width="13.44140625" style="233" customWidth="1"/>
    <col min="13059" max="13061" width="2.6640625" style="233" customWidth="1"/>
    <col min="13062" max="13062" width="12" style="233" customWidth="1"/>
    <col min="13063" max="13063" width="80.6640625" style="233" customWidth="1"/>
    <col min="13064" max="13064" width="26" style="233" customWidth="1"/>
    <col min="13065" max="13065" width="36" style="233" bestFit="1" customWidth="1"/>
    <col min="13066" max="13066" width="3.6640625" style="233" customWidth="1"/>
    <col min="13067" max="13067" width="7.6640625" style="233" customWidth="1"/>
    <col min="13068" max="13073" width="3.6640625" style="233" customWidth="1"/>
    <col min="13074" max="13074" width="4.6640625" style="233" customWidth="1"/>
    <col min="13075" max="13075" width="3.6640625" style="233" customWidth="1"/>
    <col min="13076" max="13076" width="4.6640625" style="233" customWidth="1"/>
    <col min="13077" max="13079" width="3.6640625" style="233" customWidth="1"/>
    <col min="13080" max="13080" width="4.5546875" style="233" customWidth="1"/>
    <col min="13081" max="13081" width="6" style="233" bestFit="1" customWidth="1"/>
    <col min="13082" max="13082" width="3.6640625" style="233" customWidth="1"/>
    <col min="13083" max="13083" width="10.6640625" style="233" customWidth="1"/>
    <col min="13084" max="13084" width="48.33203125" style="233" customWidth="1"/>
    <col min="13085" max="13312" width="11.44140625" style="233"/>
    <col min="13313" max="13313" width="2.6640625" style="233" customWidth="1"/>
    <col min="13314" max="13314" width="13.44140625" style="233" customWidth="1"/>
    <col min="13315" max="13317" width="2.6640625" style="233" customWidth="1"/>
    <col min="13318" max="13318" width="12" style="233" customWidth="1"/>
    <col min="13319" max="13319" width="80.6640625" style="233" customWidth="1"/>
    <col min="13320" max="13320" width="26" style="233" customWidth="1"/>
    <col min="13321" max="13321" width="36" style="233" bestFit="1" customWidth="1"/>
    <col min="13322" max="13322" width="3.6640625" style="233" customWidth="1"/>
    <col min="13323" max="13323" width="7.6640625" style="233" customWidth="1"/>
    <col min="13324" max="13329" width="3.6640625" style="233" customWidth="1"/>
    <col min="13330" max="13330" width="4.6640625" style="233" customWidth="1"/>
    <col min="13331" max="13331" width="3.6640625" style="233" customWidth="1"/>
    <col min="13332" max="13332" width="4.6640625" style="233" customWidth="1"/>
    <col min="13333" max="13335" width="3.6640625" style="233" customWidth="1"/>
    <col min="13336" max="13336" width="4.5546875" style="233" customWidth="1"/>
    <col min="13337" max="13337" width="6" style="233" bestFit="1" customWidth="1"/>
    <col min="13338" max="13338" width="3.6640625" style="233" customWidth="1"/>
    <col min="13339" max="13339" width="10.6640625" style="233" customWidth="1"/>
    <col min="13340" max="13340" width="48.33203125" style="233" customWidth="1"/>
    <col min="13341" max="13568" width="11.44140625" style="233"/>
    <col min="13569" max="13569" width="2.6640625" style="233" customWidth="1"/>
    <col min="13570" max="13570" width="13.44140625" style="233" customWidth="1"/>
    <col min="13571" max="13573" width="2.6640625" style="233" customWidth="1"/>
    <col min="13574" max="13574" width="12" style="233" customWidth="1"/>
    <col min="13575" max="13575" width="80.6640625" style="233" customWidth="1"/>
    <col min="13576" max="13576" width="26" style="233" customWidth="1"/>
    <col min="13577" max="13577" width="36" style="233" bestFit="1" customWidth="1"/>
    <col min="13578" max="13578" width="3.6640625" style="233" customWidth="1"/>
    <col min="13579" max="13579" width="7.6640625" style="233" customWidth="1"/>
    <col min="13580" max="13585" width="3.6640625" style="233" customWidth="1"/>
    <col min="13586" max="13586" width="4.6640625" style="233" customWidth="1"/>
    <col min="13587" max="13587" width="3.6640625" style="233" customWidth="1"/>
    <col min="13588" max="13588" width="4.6640625" style="233" customWidth="1"/>
    <col min="13589" max="13591" width="3.6640625" style="233" customWidth="1"/>
    <col min="13592" max="13592" width="4.5546875" style="233" customWidth="1"/>
    <col min="13593" max="13593" width="6" style="233" bestFit="1" customWidth="1"/>
    <col min="13594" max="13594" width="3.6640625" style="233" customWidth="1"/>
    <col min="13595" max="13595" width="10.6640625" style="233" customWidth="1"/>
    <col min="13596" max="13596" width="48.33203125" style="233" customWidth="1"/>
    <col min="13597" max="13824" width="11.44140625" style="233"/>
    <col min="13825" max="13825" width="2.6640625" style="233" customWidth="1"/>
    <col min="13826" max="13826" width="13.44140625" style="233" customWidth="1"/>
    <col min="13827" max="13829" width="2.6640625" style="233" customWidth="1"/>
    <col min="13830" max="13830" width="12" style="233" customWidth="1"/>
    <col min="13831" max="13831" width="80.6640625" style="233" customWidth="1"/>
    <col min="13832" max="13832" width="26" style="233" customWidth="1"/>
    <col min="13833" max="13833" width="36" style="233" bestFit="1" customWidth="1"/>
    <col min="13834" max="13834" width="3.6640625" style="233" customWidth="1"/>
    <col min="13835" max="13835" width="7.6640625" style="233" customWidth="1"/>
    <col min="13836" max="13841" width="3.6640625" style="233" customWidth="1"/>
    <col min="13842" max="13842" width="4.6640625" style="233" customWidth="1"/>
    <col min="13843" max="13843" width="3.6640625" style="233" customWidth="1"/>
    <col min="13844" max="13844" width="4.6640625" style="233" customWidth="1"/>
    <col min="13845" max="13847" width="3.6640625" style="233" customWidth="1"/>
    <col min="13848" max="13848" width="4.5546875" style="233" customWidth="1"/>
    <col min="13849" max="13849" width="6" style="233" bestFit="1" customWidth="1"/>
    <col min="13850" max="13850" width="3.6640625" style="233" customWidth="1"/>
    <col min="13851" max="13851" width="10.6640625" style="233" customWidth="1"/>
    <col min="13852" max="13852" width="48.33203125" style="233" customWidth="1"/>
    <col min="13853" max="14080" width="11.44140625" style="233"/>
    <col min="14081" max="14081" width="2.6640625" style="233" customWidth="1"/>
    <col min="14082" max="14082" width="13.44140625" style="233" customWidth="1"/>
    <col min="14083" max="14085" width="2.6640625" style="233" customWidth="1"/>
    <col min="14086" max="14086" width="12" style="233" customWidth="1"/>
    <col min="14087" max="14087" width="80.6640625" style="233" customWidth="1"/>
    <col min="14088" max="14088" width="26" style="233" customWidth="1"/>
    <col min="14089" max="14089" width="36" style="233" bestFit="1" customWidth="1"/>
    <col min="14090" max="14090" width="3.6640625" style="233" customWidth="1"/>
    <col min="14091" max="14091" width="7.6640625" style="233" customWidth="1"/>
    <col min="14092" max="14097" width="3.6640625" style="233" customWidth="1"/>
    <col min="14098" max="14098" width="4.6640625" style="233" customWidth="1"/>
    <col min="14099" max="14099" width="3.6640625" style="233" customWidth="1"/>
    <col min="14100" max="14100" width="4.6640625" style="233" customWidth="1"/>
    <col min="14101" max="14103" width="3.6640625" style="233" customWidth="1"/>
    <col min="14104" max="14104" width="4.5546875" style="233" customWidth="1"/>
    <col min="14105" max="14105" width="6" style="233" bestFit="1" customWidth="1"/>
    <col min="14106" max="14106" width="3.6640625" style="233" customWidth="1"/>
    <col min="14107" max="14107" width="10.6640625" style="233" customWidth="1"/>
    <col min="14108" max="14108" width="48.33203125" style="233" customWidth="1"/>
    <col min="14109" max="14336" width="11.44140625" style="233"/>
    <col min="14337" max="14337" width="2.6640625" style="233" customWidth="1"/>
    <col min="14338" max="14338" width="13.44140625" style="233" customWidth="1"/>
    <col min="14339" max="14341" width="2.6640625" style="233" customWidth="1"/>
    <col min="14342" max="14342" width="12" style="233" customWidth="1"/>
    <col min="14343" max="14343" width="80.6640625" style="233" customWidth="1"/>
    <col min="14344" max="14344" width="26" style="233" customWidth="1"/>
    <col min="14345" max="14345" width="36" style="233" bestFit="1" customWidth="1"/>
    <col min="14346" max="14346" width="3.6640625" style="233" customWidth="1"/>
    <col min="14347" max="14347" width="7.6640625" style="233" customWidth="1"/>
    <col min="14348" max="14353" width="3.6640625" style="233" customWidth="1"/>
    <col min="14354" max="14354" width="4.6640625" style="233" customWidth="1"/>
    <col min="14355" max="14355" width="3.6640625" style="233" customWidth="1"/>
    <col min="14356" max="14356" width="4.6640625" style="233" customWidth="1"/>
    <col min="14357" max="14359" width="3.6640625" style="233" customWidth="1"/>
    <col min="14360" max="14360" width="4.5546875" style="233" customWidth="1"/>
    <col min="14361" max="14361" width="6" style="233" bestFit="1" customWidth="1"/>
    <col min="14362" max="14362" width="3.6640625" style="233" customWidth="1"/>
    <col min="14363" max="14363" width="10.6640625" style="233" customWidth="1"/>
    <col min="14364" max="14364" width="48.33203125" style="233" customWidth="1"/>
    <col min="14365" max="14592" width="11.44140625" style="233"/>
    <col min="14593" max="14593" width="2.6640625" style="233" customWidth="1"/>
    <col min="14594" max="14594" width="13.44140625" style="233" customWidth="1"/>
    <col min="14595" max="14597" width="2.6640625" style="233" customWidth="1"/>
    <col min="14598" max="14598" width="12" style="233" customWidth="1"/>
    <col min="14599" max="14599" width="80.6640625" style="233" customWidth="1"/>
    <col min="14600" max="14600" width="26" style="233" customWidth="1"/>
    <col min="14601" max="14601" width="36" style="233" bestFit="1" customWidth="1"/>
    <col min="14602" max="14602" width="3.6640625" style="233" customWidth="1"/>
    <col min="14603" max="14603" width="7.6640625" style="233" customWidth="1"/>
    <col min="14604" max="14609" width="3.6640625" style="233" customWidth="1"/>
    <col min="14610" max="14610" width="4.6640625" style="233" customWidth="1"/>
    <col min="14611" max="14611" width="3.6640625" style="233" customWidth="1"/>
    <col min="14612" max="14612" width="4.6640625" style="233" customWidth="1"/>
    <col min="14613" max="14615" width="3.6640625" style="233" customWidth="1"/>
    <col min="14616" max="14616" width="4.5546875" style="233" customWidth="1"/>
    <col min="14617" max="14617" width="6" style="233" bestFit="1" customWidth="1"/>
    <col min="14618" max="14618" width="3.6640625" style="233" customWidth="1"/>
    <col min="14619" max="14619" width="10.6640625" style="233" customWidth="1"/>
    <col min="14620" max="14620" width="48.33203125" style="233" customWidth="1"/>
    <col min="14621" max="14848" width="11.44140625" style="233"/>
    <col min="14849" max="14849" width="2.6640625" style="233" customWidth="1"/>
    <col min="14850" max="14850" width="13.44140625" style="233" customWidth="1"/>
    <col min="14851" max="14853" width="2.6640625" style="233" customWidth="1"/>
    <col min="14854" max="14854" width="12" style="233" customWidth="1"/>
    <col min="14855" max="14855" width="80.6640625" style="233" customWidth="1"/>
    <col min="14856" max="14856" width="26" style="233" customWidth="1"/>
    <col min="14857" max="14857" width="36" style="233" bestFit="1" customWidth="1"/>
    <col min="14858" max="14858" width="3.6640625" style="233" customWidth="1"/>
    <col min="14859" max="14859" width="7.6640625" style="233" customWidth="1"/>
    <col min="14860" max="14865" width="3.6640625" style="233" customWidth="1"/>
    <col min="14866" max="14866" width="4.6640625" style="233" customWidth="1"/>
    <col min="14867" max="14867" width="3.6640625" style="233" customWidth="1"/>
    <col min="14868" max="14868" width="4.6640625" style="233" customWidth="1"/>
    <col min="14869" max="14871" width="3.6640625" style="233" customWidth="1"/>
    <col min="14872" max="14872" width="4.5546875" style="233" customWidth="1"/>
    <col min="14873" max="14873" width="6" style="233" bestFit="1" customWidth="1"/>
    <col min="14874" max="14874" width="3.6640625" style="233" customWidth="1"/>
    <col min="14875" max="14875" width="10.6640625" style="233" customWidth="1"/>
    <col min="14876" max="14876" width="48.33203125" style="233" customWidth="1"/>
    <col min="14877" max="15104" width="11.44140625" style="233"/>
    <col min="15105" max="15105" width="2.6640625" style="233" customWidth="1"/>
    <col min="15106" max="15106" width="13.44140625" style="233" customWidth="1"/>
    <col min="15107" max="15109" width="2.6640625" style="233" customWidth="1"/>
    <col min="15110" max="15110" width="12" style="233" customWidth="1"/>
    <col min="15111" max="15111" width="80.6640625" style="233" customWidth="1"/>
    <col min="15112" max="15112" width="26" style="233" customWidth="1"/>
    <col min="15113" max="15113" width="36" style="233" bestFit="1" customWidth="1"/>
    <col min="15114" max="15114" width="3.6640625" style="233" customWidth="1"/>
    <col min="15115" max="15115" width="7.6640625" style="233" customWidth="1"/>
    <col min="15116" max="15121" width="3.6640625" style="233" customWidth="1"/>
    <col min="15122" max="15122" width="4.6640625" style="233" customWidth="1"/>
    <col min="15123" max="15123" width="3.6640625" style="233" customWidth="1"/>
    <col min="15124" max="15124" width="4.6640625" style="233" customWidth="1"/>
    <col min="15125" max="15127" width="3.6640625" style="233" customWidth="1"/>
    <col min="15128" max="15128" width="4.5546875" style="233" customWidth="1"/>
    <col min="15129" max="15129" width="6" style="233" bestFit="1" customWidth="1"/>
    <col min="15130" max="15130" width="3.6640625" style="233" customWidth="1"/>
    <col min="15131" max="15131" width="10.6640625" style="233" customWidth="1"/>
    <col min="15132" max="15132" width="48.33203125" style="233" customWidth="1"/>
    <col min="15133" max="15360" width="11.44140625" style="233"/>
    <col min="15361" max="15361" width="2.6640625" style="233" customWidth="1"/>
    <col min="15362" max="15362" width="13.44140625" style="233" customWidth="1"/>
    <col min="15363" max="15365" width="2.6640625" style="233" customWidth="1"/>
    <col min="15366" max="15366" width="12" style="233" customWidth="1"/>
    <col min="15367" max="15367" width="80.6640625" style="233" customWidth="1"/>
    <col min="15368" max="15368" width="26" style="233" customWidth="1"/>
    <col min="15369" max="15369" width="36" style="233" bestFit="1" customWidth="1"/>
    <col min="15370" max="15370" width="3.6640625" style="233" customWidth="1"/>
    <col min="15371" max="15371" width="7.6640625" style="233" customWidth="1"/>
    <col min="15372" max="15377" width="3.6640625" style="233" customWidth="1"/>
    <col min="15378" max="15378" width="4.6640625" style="233" customWidth="1"/>
    <col min="15379" max="15379" width="3.6640625" style="233" customWidth="1"/>
    <col min="15380" max="15380" width="4.6640625" style="233" customWidth="1"/>
    <col min="15381" max="15383" width="3.6640625" style="233" customWidth="1"/>
    <col min="15384" max="15384" width="4.5546875" style="233" customWidth="1"/>
    <col min="15385" max="15385" width="6" style="233" bestFit="1" customWidth="1"/>
    <col min="15386" max="15386" width="3.6640625" style="233" customWidth="1"/>
    <col min="15387" max="15387" width="10.6640625" style="233" customWidth="1"/>
    <col min="15388" max="15388" width="48.33203125" style="233" customWidth="1"/>
    <col min="15389" max="15616" width="11.44140625" style="233"/>
    <col min="15617" max="15617" width="2.6640625" style="233" customWidth="1"/>
    <col min="15618" max="15618" width="13.44140625" style="233" customWidth="1"/>
    <col min="15619" max="15621" width="2.6640625" style="233" customWidth="1"/>
    <col min="15622" max="15622" width="12" style="233" customWidth="1"/>
    <col min="15623" max="15623" width="80.6640625" style="233" customWidth="1"/>
    <col min="15624" max="15624" width="26" style="233" customWidth="1"/>
    <col min="15625" max="15625" width="36" style="233" bestFit="1" customWidth="1"/>
    <col min="15626" max="15626" width="3.6640625" style="233" customWidth="1"/>
    <col min="15627" max="15627" width="7.6640625" style="233" customWidth="1"/>
    <col min="15628" max="15633" width="3.6640625" style="233" customWidth="1"/>
    <col min="15634" max="15634" width="4.6640625" style="233" customWidth="1"/>
    <col min="15635" max="15635" width="3.6640625" style="233" customWidth="1"/>
    <col min="15636" max="15636" width="4.6640625" style="233" customWidth="1"/>
    <col min="15637" max="15639" width="3.6640625" style="233" customWidth="1"/>
    <col min="15640" max="15640" width="4.5546875" style="233" customWidth="1"/>
    <col min="15641" max="15641" width="6" style="233" bestFit="1" customWidth="1"/>
    <col min="15642" max="15642" width="3.6640625" style="233" customWidth="1"/>
    <col min="15643" max="15643" width="10.6640625" style="233" customWidth="1"/>
    <col min="15644" max="15644" width="48.33203125" style="233" customWidth="1"/>
    <col min="15645" max="15872" width="11.44140625" style="233"/>
    <col min="15873" max="15873" width="2.6640625" style="233" customWidth="1"/>
    <col min="15874" max="15874" width="13.44140625" style="233" customWidth="1"/>
    <col min="15875" max="15877" width="2.6640625" style="233" customWidth="1"/>
    <col min="15878" max="15878" width="12" style="233" customWidth="1"/>
    <col min="15879" max="15879" width="80.6640625" style="233" customWidth="1"/>
    <col min="15880" max="15880" width="26" style="233" customWidth="1"/>
    <col min="15881" max="15881" width="36" style="233" bestFit="1" customWidth="1"/>
    <col min="15882" max="15882" width="3.6640625" style="233" customWidth="1"/>
    <col min="15883" max="15883" width="7.6640625" style="233" customWidth="1"/>
    <col min="15884" max="15889" width="3.6640625" style="233" customWidth="1"/>
    <col min="15890" max="15890" width="4.6640625" style="233" customWidth="1"/>
    <col min="15891" max="15891" width="3.6640625" style="233" customWidth="1"/>
    <col min="15892" max="15892" width="4.6640625" style="233" customWidth="1"/>
    <col min="15893" max="15895" width="3.6640625" style="233" customWidth="1"/>
    <col min="15896" max="15896" width="4.5546875" style="233" customWidth="1"/>
    <col min="15897" max="15897" width="6" style="233" bestFit="1" customWidth="1"/>
    <col min="15898" max="15898" width="3.6640625" style="233" customWidth="1"/>
    <col min="15899" max="15899" width="10.6640625" style="233" customWidth="1"/>
    <col min="15900" max="15900" width="48.33203125" style="233" customWidth="1"/>
    <col min="15901" max="16128" width="11.44140625" style="233"/>
    <col min="16129" max="16129" width="2.6640625" style="233" customWidth="1"/>
    <col min="16130" max="16130" width="13.44140625" style="233" customWidth="1"/>
    <col min="16131" max="16133" width="2.6640625" style="233" customWidth="1"/>
    <col min="16134" max="16134" width="12" style="233" customWidth="1"/>
    <col min="16135" max="16135" width="80.6640625" style="233" customWidth="1"/>
    <col min="16136" max="16136" width="26" style="233" customWidth="1"/>
    <col min="16137" max="16137" width="36" style="233" bestFit="1" customWidth="1"/>
    <col min="16138" max="16138" width="3.6640625" style="233" customWidth="1"/>
    <col min="16139" max="16139" width="7.6640625" style="233" customWidth="1"/>
    <col min="16140" max="16145" width="3.6640625" style="233" customWidth="1"/>
    <col min="16146" max="16146" width="4.6640625" style="233" customWidth="1"/>
    <col min="16147" max="16147" width="3.6640625" style="233" customWidth="1"/>
    <col min="16148" max="16148" width="4.6640625" style="233" customWidth="1"/>
    <col min="16149" max="16151" width="3.6640625" style="233" customWidth="1"/>
    <col min="16152" max="16152" width="4.5546875" style="233" customWidth="1"/>
    <col min="16153" max="16153" width="6" style="233" bestFit="1" customWidth="1"/>
    <col min="16154" max="16154" width="3.6640625" style="233" customWidth="1"/>
    <col min="16155" max="16155" width="10.6640625" style="233" customWidth="1"/>
    <col min="16156" max="16156" width="48.33203125" style="233" customWidth="1"/>
    <col min="16157" max="16384" width="11.44140625" style="233"/>
  </cols>
  <sheetData>
    <row r="1" spans="1:28" ht="21" x14ac:dyDescent="0.25">
      <c r="A1" s="231"/>
      <c r="B1" s="416" t="s">
        <v>435</v>
      </c>
      <c r="C1" s="417"/>
      <c r="D1" s="417"/>
      <c r="E1" s="417"/>
      <c r="F1" s="417"/>
      <c r="G1" s="418"/>
      <c r="H1" s="232"/>
      <c r="I1" s="232"/>
      <c r="J1" s="419" t="s">
        <v>436</v>
      </c>
      <c r="K1" s="420"/>
      <c r="L1" s="420"/>
      <c r="M1" s="420"/>
      <c r="N1" s="420"/>
      <c r="O1" s="420"/>
      <c r="P1" s="420"/>
      <c r="Q1" s="420"/>
      <c r="R1" s="420"/>
      <c r="S1" s="420"/>
      <c r="T1" s="420"/>
      <c r="U1" s="420"/>
      <c r="V1" s="420"/>
      <c r="W1" s="420"/>
      <c r="X1" s="420"/>
      <c r="Y1" s="420"/>
      <c r="Z1" s="420"/>
      <c r="AA1" s="421"/>
      <c r="AB1" s="231"/>
    </row>
    <row r="2" spans="1:28" ht="175.2" customHeight="1" x14ac:dyDescent="0.25">
      <c r="A2" s="234" t="s">
        <v>137</v>
      </c>
      <c r="B2" s="235" t="s">
        <v>437</v>
      </c>
      <c r="C2" s="236" t="s">
        <v>138</v>
      </c>
      <c r="D2" s="237" t="s">
        <v>139</v>
      </c>
      <c r="E2" s="238" t="s">
        <v>140</v>
      </c>
      <c r="F2" s="239" t="s">
        <v>257</v>
      </c>
      <c r="G2" s="240" t="s">
        <v>175</v>
      </c>
      <c r="H2" s="241" t="s">
        <v>298</v>
      </c>
      <c r="I2" s="242" t="s">
        <v>438</v>
      </c>
      <c r="J2" s="243" t="s">
        <v>68</v>
      </c>
      <c r="K2" s="243" t="s">
        <v>69</v>
      </c>
      <c r="L2" s="244" t="s">
        <v>439</v>
      </c>
      <c r="M2" s="245" t="s">
        <v>440</v>
      </c>
      <c r="N2" s="245" t="s">
        <v>441</v>
      </c>
      <c r="O2" s="246" t="s">
        <v>70</v>
      </c>
      <c r="P2" s="246" t="s">
        <v>21</v>
      </c>
      <c r="Q2" s="246" t="s">
        <v>141</v>
      </c>
      <c r="R2" s="246" t="s">
        <v>22</v>
      </c>
      <c r="S2" s="246" t="s">
        <v>71</v>
      </c>
      <c r="T2" s="247" t="s">
        <v>205</v>
      </c>
      <c r="U2" s="247" t="s">
        <v>72</v>
      </c>
      <c r="V2" s="248" t="s">
        <v>170</v>
      </c>
      <c r="W2" s="247" t="s">
        <v>73</v>
      </c>
      <c r="X2" s="247" t="s">
        <v>142</v>
      </c>
      <c r="Y2" s="247" t="s">
        <v>74</v>
      </c>
      <c r="Z2" s="247" t="s">
        <v>143</v>
      </c>
      <c r="AA2" s="249" t="s">
        <v>442</v>
      </c>
      <c r="AB2" s="250" t="s">
        <v>144</v>
      </c>
    </row>
    <row r="3" spans="1:28" ht="16.2" customHeight="1" x14ac:dyDescent="0.25">
      <c r="A3" s="231">
        <v>7</v>
      </c>
      <c r="B3" s="251">
        <v>45901</v>
      </c>
      <c r="C3" s="140"/>
      <c r="D3" s="141"/>
      <c r="E3" s="142"/>
      <c r="F3" s="252"/>
      <c r="G3" s="158"/>
      <c r="H3" s="253"/>
      <c r="I3" s="143"/>
      <c r="J3" s="253"/>
      <c r="K3" s="253"/>
      <c r="L3" s="253"/>
      <c r="M3" s="253"/>
      <c r="N3" s="253"/>
      <c r="O3" s="253"/>
      <c r="P3" s="253"/>
      <c r="Q3" s="253"/>
      <c r="R3" s="253"/>
      <c r="S3" s="231"/>
      <c r="T3" s="231"/>
      <c r="U3" s="231"/>
      <c r="V3" s="253"/>
      <c r="W3" s="231"/>
      <c r="X3" s="231"/>
      <c r="Y3" s="231"/>
      <c r="Z3" s="253"/>
      <c r="AA3" s="254"/>
      <c r="AB3" s="231"/>
    </row>
    <row r="4" spans="1:28" ht="16.2" customHeight="1" x14ac:dyDescent="0.25">
      <c r="A4" s="231"/>
      <c r="B4" s="251"/>
      <c r="C4" s="140"/>
      <c r="D4" s="141"/>
      <c r="E4" s="142"/>
      <c r="F4" s="252"/>
      <c r="G4" s="158"/>
      <c r="H4" s="253"/>
      <c r="I4" s="143"/>
      <c r="J4" s="253"/>
      <c r="K4" s="253"/>
      <c r="L4" s="253"/>
      <c r="M4" s="253"/>
      <c r="N4" s="253"/>
      <c r="O4" s="253"/>
      <c r="P4" s="253"/>
      <c r="Q4" s="253"/>
      <c r="R4" s="253"/>
      <c r="S4" s="231"/>
      <c r="T4" s="231"/>
      <c r="U4" s="231"/>
      <c r="V4" s="253"/>
      <c r="W4" s="231"/>
      <c r="X4" s="231"/>
      <c r="Y4" s="231"/>
      <c r="Z4" s="253"/>
      <c r="AA4" s="254"/>
      <c r="AB4" s="231"/>
    </row>
    <row r="5" spans="1:28" ht="29.25" customHeight="1" x14ac:dyDescent="0.25">
      <c r="A5" s="255"/>
      <c r="B5" s="256"/>
      <c r="C5" s="413" t="s">
        <v>443</v>
      </c>
      <c r="D5" s="422"/>
      <c r="E5" s="422"/>
      <c r="F5" s="422"/>
      <c r="G5" s="422"/>
      <c r="H5" s="422"/>
      <c r="I5" s="422"/>
      <c r="J5" s="422"/>
      <c r="K5" s="422"/>
      <c r="L5" s="422"/>
      <c r="M5" s="422"/>
      <c r="N5" s="422"/>
      <c r="O5" s="422"/>
      <c r="P5" s="422"/>
      <c r="Q5" s="422"/>
      <c r="R5" s="422"/>
      <c r="S5" s="422"/>
      <c r="T5" s="422"/>
      <c r="U5" s="422"/>
      <c r="V5" s="422"/>
      <c r="W5" s="422"/>
      <c r="X5" s="422"/>
      <c r="Y5" s="422"/>
      <c r="Z5" s="422"/>
      <c r="AA5" s="423"/>
      <c r="AB5" s="255"/>
    </row>
    <row r="6" spans="1:28" ht="16.2" customHeight="1" x14ac:dyDescent="0.25">
      <c r="A6" s="231"/>
      <c r="B6" s="251"/>
      <c r="C6" s="140"/>
      <c r="D6" s="141"/>
      <c r="E6" s="142"/>
      <c r="F6" s="252"/>
      <c r="G6" s="158"/>
      <c r="H6" s="253"/>
      <c r="I6" s="143"/>
      <c r="J6" s="253"/>
      <c r="K6" s="253"/>
      <c r="L6" s="253"/>
      <c r="M6" s="253"/>
      <c r="N6" s="253"/>
      <c r="O6" s="253"/>
      <c r="P6" s="253"/>
      <c r="Q6" s="253"/>
      <c r="R6" s="253"/>
      <c r="S6" s="231"/>
      <c r="T6" s="231"/>
      <c r="U6" s="231"/>
      <c r="V6" s="253"/>
      <c r="W6" s="231"/>
      <c r="X6" s="231"/>
      <c r="Y6" s="231"/>
      <c r="Z6" s="253"/>
      <c r="AA6" s="254"/>
      <c r="AB6" s="231"/>
    </row>
    <row r="7" spans="1:28" ht="16.2" customHeight="1" x14ac:dyDescent="0.25">
      <c r="A7" s="231">
        <v>7</v>
      </c>
      <c r="B7" s="251">
        <v>45907</v>
      </c>
      <c r="C7" s="140"/>
      <c r="D7" s="141"/>
      <c r="E7" s="142"/>
      <c r="F7" s="252"/>
      <c r="G7" s="349" t="s">
        <v>211</v>
      </c>
      <c r="H7" s="253"/>
      <c r="I7" s="143"/>
      <c r="J7" s="253"/>
      <c r="K7" s="253"/>
      <c r="L7" s="253"/>
      <c r="M7" s="253"/>
      <c r="N7" s="253"/>
      <c r="O7" s="253"/>
      <c r="P7" s="253"/>
      <c r="Q7" s="253"/>
      <c r="R7" s="253"/>
      <c r="S7" s="231"/>
      <c r="T7" s="231"/>
      <c r="U7" s="231"/>
      <c r="V7" s="253"/>
      <c r="W7" s="231"/>
      <c r="X7" s="231"/>
      <c r="Y7" s="231"/>
      <c r="Z7" s="231" t="s">
        <v>78</v>
      </c>
      <c r="AA7" s="254" t="s">
        <v>444</v>
      </c>
      <c r="AB7" s="231"/>
    </row>
    <row r="8" spans="1:28" ht="16.2" customHeight="1" x14ac:dyDescent="0.25">
      <c r="A8" s="231"/>
      <c r="B8" s="251">
        <v>45907</v>
      </c>
      <c r="C8" s="140"/>
      <c r="D8" s="141"/>
      <c r="E8" s="142"/>
      <c r="F8" s="258">
        <v>45810</v>
      </c>
      <c r="G8" s="350" t="s">
        <v>96</v>
      </c>
      <c r="H8" s="351"/>
      <c r="I8" s="260"/>
      <c r="J8" s="351"/>
      <c r="K8" s="352">
        <v>2</v>
      </c>
      <c r="L8" s="352"/>
      <c r="M8" s="352"/>
      <c r="N8" s="352"/>
      <c r="O8" s="352"/>
      <c r="P8" s="352"/>
      <c r="Q8" s="352"/>
      <c r="R8" s="352"/>
      <c r="S8" s="352"/>
      <c r="T8" s="352">
        <v>70</v>
      </c>
      <c r="U8" s="352"/>
      <c r="V8" s="352"/>
      <c r="W8" s="352">
        <v>6</v>
      </c>
      <c r="X8" s="352"/>
      <c r="Y8" s="352"/>
      <c r="Z8" s="352"/>
      <c r="AA8" s="353" t="s">
        <v>445</v>
      </c>
      <c r="AB8" s="354" t="s">
        <v>446</v>
      </c>
    </row>
    <row r="9" spans="1:28" ht="16.2" customHeight="1" x14ac:dyDescent="0.25">
      <c r="A9" s="231"/>
      <c r="B9" s="251">
        <v>45907</v>
      </c>
      <c r="C9" s="140"/>
      <c r="D9" s="141"/>
      <c r="E9" s="142"/>
      <c r="F9" s="258">
        <v>45821</v>
      </c>
      <c r="G9" s="350" t="s">
        <v>447</v>
      </c>
      <c r="H9" s="351"/>
      <c r="I9" s="260"/>
      <c r="J9" s="351"/>
      <c r="K9" s="352">
        <v>2</v>
      </c>
      <c r="L9" s="352"/>
      <c r="M9" s="352"/>
      <c r="N9" s="352"/>
      <c r="O9" s="352"/>
      <c r="P9" s="352"/>
      <c r="Q9" s="352"/>
      <c r="R9" s="352"/>
      <c r="S9" s="352" t="s">
        <v>15</v>
      </c>
      <c r="T9" s="352">
        <v>70</v>
      </c>
      <c r="U9" s="352"/>
      <c r="V9" s="352"/>
      <c r="W9" s="352">
        <v>6</v>
      </c>
      <c r="X9" s="352"/>
      <c r="Y9" s="352" t="s">
        <v>210</v>
      </c>
      <c r="Z9" s="352"/>
      <c r="AA9" s="353" t="s">
        <v>448</v>
      </c>
      <c r="AB9" s="354" t="s">
        <v>449</v>
      </c>
    </row>
    <row r="10" spans="1:28" ht="16.2" customHeight="1" x14ac:dyDescent="0.25">
      <c r="A10" s="231"/>
      <c r="B10" s="251">
        <v>45907</v>
      </c>
      <c r="C10" s="140"/>
      <c r="D10" s="141"/>
      <c r="E10" s="142"/>
      <c r="F10" s="258">
        <v>45824</v>
      </c>
      <c r="G10" s="350" t="s">
        <v>450</v>
      </c>
      <c r="H10" s="351"/>
      <c r="I10" s="260"/>
      <c r="J10" s="351"/>
      <c r="K10" s="352">
        <v>1</v>
      </c>
      <c r="L10" s="352"/>
      <c r="M10" s="352"/>
      <c r="N10" s="352"/>
      <c r="O10" s="352"/>
      <c r="P10" s="352"/>
      <c r="Q10" s="352"/>
      <c r="R10" s="352"/>
      <c r="S10" s="352"/>
      <c r="T10" s="352">
        <v>70</v>
      </c>
      <c r="U10" s="352"/>
      <c r="V10" s="352"/>
      <c r="W10" s="352">
        <v>12</v>
      </c>
      <c r="X10" s="352"/>
      <c r="Y10" s="352" t="s">
        <v>207</v>
      </c>
      <c r="Z10" s="352"/>
      <c r="AA10" s="353" t="s">
        <v>150</v>
      </c>
      <c r="AB10" s="354" t="s">
        <v>241</v>
      </c>
    </row>
    <row r="11" spans="1:28" ht="16.2" customHeight="1" x14ac:dyDescent="0.25">
      <c r="A11" s="231"/>
      <c r="B11" s="251">
        <v>45907</v>
      </c>
      <c r="C11" s="140"/>
      <c r="D11" s="141"/>
      <c r="E11" s="142"/>
      <c r="F11" s="258">
        <v>45824</v>
      </c>
      <c r="G11" s="350" t="s">
        <v>451</v>
      </c>
      <c r="H11" s="351"/>
      <c r="I11" s="260"/>
      <c r="J11" s="351"/>
      <c r="K11" s="352">
        <v>1</v>
      </c>
      <c r="L11" s="352"/>
      <c r="M11" s="352"/>
      <c r="N11" s="352"/>
      <c r="O11" s="352"/>
      <c r="P11" s="352"/>
      <c r="Q11" s="352"/>
      <c r="R11" s="352"/>
      <c r="S11" s="352"/>
      <c r="T11" s="352">
        <v>70</v>
      </c>
      <c r="U11" s="352"/>
      <c r="V11" s="352"/>
      <c r="W11" s="352">
        <v>9</v>
      </c>
      <c r="X11" s="352"/>
      <c r="Y11" s="352" t="s">
        <v>210</v>
      </c>
      <c r="Z11" s="352"/>
      <c r="AA11" s="353" t="s">
        <v>145</v>
      </c>
      <c r="AB11" s="354" t="s">
        <v>452</v>
      </c>
    </row>
    <row r="12" spans="1:28" ht="16.2" customHeight="1" x14ac:dyDescent="0.25">
      <c r="A12" s="231"/>
      <c r="B12" s="251">
        <v>45907</v>
      </c>
      <c r="C12" s="140"/>
      <c r="D12" s="141"/>
      <c r="E12" s="142"/>
      <c r="F12" s="258">
        <v>45824</v>
      </c>
      <c r="G12" s="350" t="s">
        <v>208</v>
      </c>
      <c r="H12" s="351"/>
      <c r="I12" s="260"/>
      <c r="J12" s="351"/>
      <c r="K12" s="352" t="s">
        <v>453</v>
      </c>
      <c r="L12" s="352"/>
      <c r="M12" s="352"/>
      <c r="N12" s="352"/>
      <c r="O12" s="352"/>
      <c r="P12" s="352"/>
      <c r="Q12" s="352"/>
      <c r="R12" s="352"/>
      <c r="S12" s="352"/>
      <c r="T12" s="352">
        <v>60</v>
      </c>
      <c r="U12" s="352"/>
      <c r="V12" s="352"/>
      <c r="W12" s="352"/>
      <c r="X12" s="352"/>
      <c r="Y12" s="352" t="s">
        <v>207</v>
      </c>
      <c r="Z12" s="352"/>
      <c r="AA12" s="353" t="s">
        <v>145</v>
      </c>
      <c r="AB12" s="354" t="s">
        <v>240</v>
      </c>
    </row>
    <row r="13" spans="1:28" ht="16.2" customHeight="1" x14ac:dyDescent="0.25">
      <c r="A13" s="231"/>
      <c r="B13" s="251"/>
      <c r="C13" s="140"/>
      <c r="D13" s="141"/>
      <c r="E13" s="142"/>
      <c r="F13" s="252"/>
      <c r="G13" s="158"/>
      <c r="H13" s="253"/>
      <c r="I13" s="143"/>
      <c r="J13" s="253"/>
      <c r="K13" s="253"/>
      <c r="L13" s="253"/>
      <c r="M13" s="253"/>
      <c r="N13" s="253"/>
      <c r="O13" s="253"/>
      <c r="P13" s="253"/>
      <c r="Q13" s="253"/>
      <c r="R13" s="253"/>
      <c r="S13" s="231"/>
      <c r="T13" s="231"/>
      <c r="U13" s="231"/>
      <c r="V13" s="253"/>
      <c r="W13" s="231"/>
      <c r="X13" s="231"/>
      <c r="Y13" s="231"/>
      <c r="Z13" s="253"/>
      <c r="AA13" s="254"/>
      <c r="AB13" s="231"/>
    </row>
    <row r="14" spans="1:28" ht="16.2" customHeight="1" x14ac:dyDescent="0.25">
      <c r="A14" s="231">
        <v>7</v>
      </c>
      <c r="B14" s="251">
        <v>45914</v>
      </c>
      <c r="C14" s="140"/>
      <c r="D14" s="141"/>
      <c r="E14" s="142"/>
      <c r="F14" s="252"/>
      <c r="G14" s="259" t="s">
        <v>454</v>
      </c>
      <c r="H14" s="253"/>
      <c r="I14" s="143"/>
      <c r="J14" s="231"/>
      <c r="K14" s="231"/>
      <c r="L14" s="253"/>
      <c r="M14" s="253"/>
      <c r="N14" s="253"/>
      <c r="O14" s="253"/>
      <c r="P14" s="253"/>
      <c r="Q14" s="253"/>
      <c r="R14" s="253"/>
      <c r="S14" s="231"/>
      <c r="T14" s="231"/>
      <c r="U14" s="231"/>
      <c r="V14" s="253"/>
      <c r="W14" s="231"/>
      <c r="X14" s="231"/>
      <c r="Y14" s="231"/>
      <c r="Z14" s="231" t="s">
        <v>78</v>
      </c>
      <c r="AA14" s="254" t="s">
        <v>444</v>
      </c>
      <c r="AB14" s="231"/>
    </row>
    <row r="15" spans="1:28" ht="16.2" customHeight="1" x14ac:dyDescent="0.25">
      <c r="A15" s="231">
        <v>7</v>
      </c>
      <c r="B15" s="251">
        <v>45914</v>
      </c>
      <c r="C15" s="140"/>
      <c r="D15" s="141"/>
      <c r="E15" s="142"/>
      <c r="F15" s="252"/>
      <c r="G15" s="259" t="s">
        <v>455</v>
      </c>
      <c r="H15" s="253"/>
      <c r="I15" s="143"/>
      <c r="J15" s="231"/>
      <c r="K15" s="231"/>
      <c r="L15" s="253"/>
      <c r="M15" s="253"/>
      <c r="N15" s="253"/>
      <c r="O15" s="253"/>
      <c r="P15" s="253"/>
      <c r="Q15" s="253"/>
      <c r="R15" s="253"/>
      <c r="S15" s="231"/>
      <c r="T15" s="231"/>
      <c r="U15" s="231"/>
      <c r="V15" s="253"/>
      <c r="W15" s="231"/>
      <c r="X15" s="231"/>
      <c r="Y15" s="231"/>
      <c r="Z15" s="231" t="s">
        <v>78</v>
      </c>
      <c r="AA15" s="254" t="s">
        <v>444</v>
      </c>
      <c r="AB15" s="231"/>
    </row>
    <row r="16" spans="1:28" ht="16.2" customHeight="1" x14ac:dyDescent="0.25">
      <c r="A16" s="231"/>
      <c r="B16" s="251"/>
      <c r="C16" s="140"/>
      <c r="D16" s="141"/>
      <c r="E16" s="142"/>
      <c r="F16" s="252"/>
      <c r="G16" s="158"/>
      <c r="H16" s="253"/>
      <c r="I16" s="143"/>
      <c r="J16" s="231"/>
      <c r="K16" s="231"/>
      <c r="L16" s="253"/>
      <c r="M16" s="253"/>
      <c r="N16" s="253"/>
      <c r="O16" s="253"/>
      <c r="P16" s="253"/>
      <c r="Q16" s="253"/>
      <c r="R16" s="253"/>
      <c r="S16" s="231"/>
      <c r="T16" s="231"/>
      <c r="U16" s="231"/>
      <c r="V16" s="253"/>
      <c r="W16" s="231"/>
      <c r="X16" s="231"/>
      <c r="Y16" s="231"/>
      <c r="Z16" s="253"/>
      <c r="AA16" s="254"/>
      <c r="AB16" s="231"/>
    </row>
    <row r="17" spans="1:28" ht="16.2" customHeight="1" x14ac:dyDescent="0.25">
      <c r="A17" s="231">
        <v>7</v>
      </c>
      <c r="B17" s="251">
        <v>45921</v>
      </c>
      <c r="C17" s="140"/>
      <c r="D17" s="141"/>
      <c r="E17" s="145"/>
      <c r="F17" s="252"/>
      <c r="G17" s="260" t="s">
        <v>456</v>
      </c>
      <c r="H17" s="253"/>
      <c r="I17" s="143"/>
      <c r="J17" s="231"/>
      <c r="K17" s="231"/>
      <c r="L17" s="253"/>
      <c r="M17" s="253"/>
      <c r="N17" s="253"/>
      <c r="O17" s="253"/>
      <c r="P17" s="253"/>
      <c r="Q17" s="253"/>
      <c r="R17" s="253"/>
      <c r="S17" s="231"/>
      <c r="T17" s="231"/>
      <c r="U17" s="231"/>
      <c r="V17" s="253"/>
      <c r="W17" s="231"/>
      <c r="X17" s="231"/>
      <c r="Y17" s="231"/>
      <c r="Z17" s="231" t="s">
        <v>78</v>
      </c>
      <c r="AA17" s="254" t="s">
        <v>444</v>
      </c>
      <c r="AB17" s="231"/>
    </row>
    <row r="18" spans="1:28" ht="16.2" customHeight="1" x14ac:dyDescent="0.25">
      <c r="A18" s="231">
        <v>7</v>
      </c>
      <c r="B18" s="251">
        <v>45921</v>
      </c>
      <c r="C18" s="140"/>
      <c r="D18" s="141"/>
      <c r="E18" s="145"/>
      <c r="F18" s="252"/>
      <c r="G18" s="355" t="s">
        <v>457</v>
      </c>
      <c r="H18" s="356"/>
      <c r="I18" s="357"/>
      <c r="J18" s="358"/>
      <c r="K18" s="358">
        <v>1</v>
      </c>
      <c r="L18" s="356"/>
      <c r="M18" s="356"/>
      <c r="N18" s="356"/>
      <c r="O18" s="356" t="s">
        <v>242</v>
      </c>
      <c r="P18" s="356" t="s">
        <v>78</v>
      </c>
      <c r="Q18" s="356"/>
      <c r="R18" s="356"/>
      <c r="S18" s="358"/>
      <c r="T18" s="358"/>
      <c r="U18" s="358"/>
      <c r="V18" s="356"/>
      <c r="W18" s="358">
        <v>18</v>
      </c>
      <c r="X18" s="358"/>
      <c r="Y18" s="358" t="s">
        <v>210</v>
      </c>
      <c r="Z18" s="358"/>
      <c r="AA18" s="359" t="s">
        <v>458</v>
      </c>
      <c r="AB18" s="360" t="s">
        <v>459</v>
      </c>
    </row>
    <row r="19" spans="1:28" ht="16.2" customHeight="1" x14ac:dyDescent="0.25">
      <c r="A19" s="231"/>
      <c r="B19" s="251">
        <v>45921</v>
      </c>
      <c r="C19" s="140"/>
      <c r="D19" s="141"/>
      <c r="E19" s="145"/>
      <c r="F19" s="258">
        <v>45811</v>
      </c>
      <c r="G19" s="350" t="s">
        <v>460</v>
      </c>
      <c r="H19" s="361"/>
      <c r="I19" s="362"/>
      <c r="J19" s="352"/>
      <c r="K19" s="352">
        <v>5</v>
      </c>
      <c r="L19" s="361"/>
      <c r="M19" s="361"/>
      <c r="N19" s="361"/>
      <c r="O19" s="361"/>
      <c r="P19" s="361"/>
      <c r="Q19" s="361"/>
      <c r="R19" s="361"/>
      <c r="S19" s="352"/>
      <c r="T19" s="352">
        <v>70</v>
      </c>
      <c r="U19" s="352"/>
      <c r="V19" s="361"/>
      <c r="W19" s="352"/>
      <c r="X19" s="352"/>
      <c r="Y19" s="352"/>
      <c r="Z19" s="361"/>
      <c r="AA19" s="353" t="s">
        <v>149</v>
      </c>
      <c r="AB19" s="354" t="s">
        <v>305</v>
      </c>
    </row>
    <row r="20" spans="1:28" ht="16.2" customHeight="1" x14ac:dyDescent="0.25">
      <c r="A20" s="231"/>
      <c r="B20" s="251">
        <v>45921</v>
      </c>
      <c r="C20" s="140"/>
      <c r="D20" s="141"/>
      <c r="E20" s="145"/>
      <c r="F20" s="258">
        <v>45824</v>
      </c>
      <c r="G20" s="350" t="s">
        <v>308</v>
      </c>
      <c r="H20" s="361"/>
      <c r="I20" s="362"/>
      <c r="J20" s="352"/>
      <c r="K20" s="352" t="s">
        <v>453</v>
      </c>
      <c r="L20" s="361"/>
      <c r="M20" s="361"/>
      <c r="N20" s="361"/>
      <c r="O20" s="361"/>
      <c r="P20" s="361"/>
      <c r="Q20" s="361"/>
      <c r="R20" s="361"/>
      <c r="S20" s="352"/>
      <c r="T20" s="352">
        <v>70</v>
      </c>
      <c r="U20" s="352"/>
      <c r="V20" s="361"/>
      <c r="W20" s="352">
        <v>10</v>
      </c>
      <c r="X20" s="352"/>
      <c r="Y20" s="352" t="s">
        <v>207</v>
      </c>
      <c r="Z20" s="361"/>
      <c r="AA20" s="353" t="s">
        <v>150</v>
      </c>
      <c r="AB20" s="354" t="s">
        <v>461</v>
      </c>
    </row>
    <row r="21" spans="1:28" ht="16.2" customHeight="1" x14ac:dyDescent="0.25">
      <c r="A21" s="231"/>
      <c r="B21" s="251">
        <v>45921</v>
      </c>
      <c r="C21" s="140"/>
      <c r="D21" s="141"/>
      <c r="E21" s="145"/>
      <c r="F21" s="258">
        <v>45824</v>
      </c>
      <c r="G21" s="350" t="s">
        <v>462</v>
      </c>
      <c r="H21" s="361"/>
      <c r="I21" s="362"/>
      <c r="J21" s="352"/>
      <c r="K21" s="352" t="s">
        <v>81</v>
      </c>
      <c r="L21" s="361"/>
      <c r="M21" s="361"/>
      <c r="N21" s="361"/>
      <c r="O21" s="361"/>
      <c r="P21" s="361"/>
      <c r="Q21" s="361"/>
      <c r="R21" s="361"/>
      <c r="S21" s="352"/>
      <c r="T21" s="352">
        <v>70</v>
      </c>
      <c r="U21" s="352"/>
      <c r="V21" s="361"/>
      <c r="W21" s="352">
        <v>18</v>
      </c>
      <c r="X21" s="352"/>
      <c r="Y21" s="352" t="s">
        <v>207</v>
      </c>
      <c r="Z21" s="361"/>
      <c r="AA21" s="353" t="s">
        <v>145</v>
      </c>
      <c r="AB21" s="354" t="s">
        <v>463</v>
      </c>
    </row>
    <row r="22" spans="1:28" ht="16.2" customHeight="1" x14ac:dyDescent="0.25">
      <c r="A22" s="231"/>
      <c r="B22" s="251"/>
      <c r="C22" s="140"/>
      <c r="D22" s="141"/>
      <c r="E22" s="145"/>
      <c r="F22" s="252"/>
      <c r="G22" s="158"/>
      <c r="H22" s="253"/>
      <c r="I22" s="143"/>
      <c r="J22" s="231"/>
      <c r="K22" s="231"/>
      <c r="L22" s="253"/>
      <c r="M22" s="253"/>
      <c r="N22" s="253"/>
      <c r="O22" s="253"/>
      <c r="P22" s="253"/>
      <c r="Q22" s="253"/>
      <c r="R22" s="253"/>
      <c r="S22" s="231"/>
      <c r="T22" s="231"/>
      <c r="U22" s="231"/>
      <c r="V22" s="253"/>
      <c r="W22" s="231"/>
      <c r="X22" s="231"/>
      <c r="Y22" s="231"/>
      <c r="Z22" s="253"/>
      <c r="AA22" s="254"/>
      <c r="AB22" s="231"/>
    </row>
    <row r="23" spans="1:28" ht="16.2" customHeight="1" x14ac:dyDescent="0.25">
      <c r="A23" s="231">
        <v>7</v>
      </c>
      <c r="B23" s="251">
        <v>45928</v>
      </c>
      <c r="C23" s="140"/>
      <c r="D23" s="141"/>
      <c r="E23" s="142"/>
      <c r="F23" s="252"/>
      <c r="G23" s="261" t="s">
        <v>464</v>
      </c>
      <c r="H23" s="253"/>
      <c r="I23" s="143"/>
      <c r="J23" s="231"/>
      <c r="K23" s="231"/>
      <c r="L23" s="253"/>
      <c r="M23" s="253"/>
      <c r="N23" s="253"/>
      <c r="O23" s="253"/>
      <c r="P23" s="253"/>
      <c r="Q23" s="253"/>
      <c r="R23" s="253"/>
      <c r="S23" s="231"/>
      <c r="T23" s="231"/>
      <c r="U23" s="231"/>
      <c r="V23" s="253"/>
      <c r="W23" s="231"/>
      <c r="X23" s="231"/>
      <c r="Y23" s="231"/>
      <c r="Z23" s="231" t="s">
        <v>78</v>
      </c>
      <c r="AA23" s="254" t="s">
        <v>444</v>
      </c>
      <c r="AB23" s="231"/>
    </row>
    <row r="24" spans="1:28" ht="16.2" customHeight="1" x14ac:dyDescent="0.25">
      <c r="A24" s="231">
        <v>7</v>
      </c>
      <c r="B24" s="251">
        <v>45928</v>
      </c>
      <c r="C24" s="140"/>
      <c r="D24" s="141"/>
      <c r="E24" s="142"/>
      <c r="F24" s="252"/>
      <c r="G24" s="262" t="s">
        <v>465</v>
      </c>
      <c r="H24" s="253"/>
      <c r="I24" s="263"/>
      <c r="J24" s="231"/>
      <c r="K24" s="231"/>
      <c r="L24" s="253"/>
      <c r="M24" s="253"/>
      <c r="N24" s="253"/>
      <c r="O24" s="253"/>
      <c r="P24" s="253"/>
      <c r="Q24" s="253"/>
      <c r="R24" s="253"/>
      <c r="S24" s="231"/>
      <c r="T24" s="231"/>
      <c r="U24" s="231"/>
      <c r="V24" s="253"/>
      <c r="W24" s="231"/>
      <c r="X24" s="231"/>
      <c r="Y24" s="231"/>
      <c r="Z24" s="231" t="s">
        <v>78</v>
      </c>
      <c r="AA24" s="254" t="s">
        <v>444</v>
      </c>
      <c r="AB24" s="231"/>
    </row>
    <row r="25" spans="1:28" ht="16.2" customHeight="1" x14ac:dyDescent="0.25">
      <c r="A25" s="231"/>
      <c r="B25" s="251">
        <v>45928</v>
      </c>
      <c r="C25" s="140"/>
      <c r="D25" s="141"/>
      <c r="E25" s="142"/>
      <c r="F25" s="258">
        <v>45824</v>
      </c>
      <c r="G25" s="260" t="s">
        <v>216</v>
      </c>
      <c r="H25" s="361"/>
      <c r="I25" s="396"/>
      <c r="J25" s="352"/>
      <c r="K25" s="352">
        <v>2</v>
      </c>
      <c r="L25" s="361"/>
      <c r="M25" s="361"/>
      <c r="N25" s="361"/>
      <c r="O25" s="361"/>
      <c r="P25" s="361"/>
      <c r="Q25" s="361"/>
      <c r="R25" s="361"/>
      <c r="S25" s="352"/>
      <c r="T25" s="352">
        <v>80</v>
      </c>
      <c r="U25" s="352"/>
      <c r="V25" s="361"/>
      <c r="W25" s="352">
        <v>10</v>
      </c>
      <c r="X25" s="352"/>
      <c r="Y25" s="352" t="s">
        <v>207</v>
      </c>
      <c r="Z25" s="352"/>
      <c r="AA25" s="353" t="s">
        <v>150</v>
      </c>
      <c r="AB25" s="354" t="s">
        <v>303</v>
      </c>
    </row>
    <row r="26" spans="1:28" ht="16.2" customHeight="1" x14ac:dyDescent="0.25">
      <c r="A26" s="231"/>
      <c r="B26" s="251"/>
      <c r="C26" s="140"/>
      <c r="D26" s="141"/>
      <c r="E26" s="142"/>
      <c r="F26" s="252"/>
      <c r="G26" s="264"/>
      <c r="H26" s="253"/>
      <c r="I26" s="263"/>
      <c r="J26" s="231"/>
      <c r="K26" s="231"/>
      <c r="L26" s="253"/>
      <c r="M26" s="253"/>
      <c r="N26" s="253"/>
      <c r="O26" s="253"/>
      <c r="P26" s="253"/>
      <c r="Q26" s="253"/>
      <c r="R26" s="253"/>
      <c r="S26" s="231"/>
      <c r="T26" s="231"/>
      <c r="U26" s="231"/>
      <c r="V26" s="253"/>
      <c r="W26" s="231"/>
      <c r="X26" s="231"/>
      <c r="Y26" s="231"/>
      <c r="Z26" s="231"/>
      <c r="AA26" s="254"/>
      <c r="AB26" s="231"/>
    </row>
    <row r="27" spans="1:28" ht="30.75" customHeight="1" x14ac:dyDescent="0.25">
      <c r="A27" s="255"/>
      <c r="B27" s="256"/>
      <c r="C27" s="413" t="s">
        <v>466</v>
      </c>
      <c r="D27" s="414"/>
      <c r="E27" s="414"/>
      <c r="F27" s="414"/>
      <c r="G27" s="414"/>
      <c r="H27" s="414"/>
      <c r="I27" s="414"/>
      <c r="J27" s="414"/>
      <c r="K27" s="414"/>
      <c r="L27" s="414"/>
      <c r="M27" s="414"/>
      <c r="N27" s="414"/>
      <c r="O27" s="414"/>
      <c r="P27" s="414"/>
      <c r="Q27" s="414"/>
      <c r="R27" s="414"/>
      <c r="S27" s="414"/>
      <c r="T27" s="414"/>
      <c r="U27" s="414"/>
      <c r="V27" s="414"/>
      <c r="W27" s="414"/>
      <c r="X27" s="414"/>
      <c r="Y27" s="414"/>
      <c r="Z27" s="414"/>
      <c r="AA27" s="415"/>
      <c r="AB27" s="255"/>
    </row>
    <row r="28" spans="1:28" ht="29.25" customHeight="1" x14ac:dyDescent="0.25">
      <c r="A28" s="231"/>
      <c r="B28" s="251"/>
      <c r="C28" s="140"/>
      <c r="D28" s="141"/>
      <c r="E28" s="142"/>
      <c r="F28" s="252"/>
      <c r="G28" s="158"/>
      <c r="H28" s="253"/>
      <c r="I28" s="263"/>
      <c r="J28" s="231"/>
      <c r="K28" s="231"/>
      <c r="L28" s="253"/>
      <c r="M28" s="253"/>
      <c r="N28" s="253"/>
      <c r="O28" s="253"/>
      <c r="P28" s="253"/>
      <c r="Q28" s="253"/>
      <c r="R28" s="253"/>
      <c r="S28" s="231"/>
      <c r="T28" s="231"/>
      <c r="U28" s="231"/>
      <c r="V28" s="253"/>
      <c r="W28" s="231"/>
      <c r="X28" s="231"/>
      <c r="Y28" s="231"/>
      <c r="Z28" s="253"/>
      <c r="AA28" s="254"/>
      <c r="AB28" s="231"/>
    </row>
    <row r="29" spans="1:28" ht="16.2" customHeight="1" x14ac:dyDescent="0.25">
      <c r="A29" s="231">
        <v>7</v>
      </c>
      <c r="B29" s="251">
        <v>45935</v>
      </c>
      <c r="C29" s="140"/>
      <c r="D29" s="141"/>
      <c r="E29" s="145"/>
      <c r="F29" s="252"/>
      <c r="G29" s="259" t="s">
        <v>467</v>
      </c>
      <c r="H29" s="253"/>
      <c r="I29" s="265"/>
      <c r="J29" s="231"/>
      <c r="K29" s="231"/>
      <c r="L29" s="253"/>
      <c r="M29" s="253"/>
      <c r="N29" s="253"/>
      <c r="O29" s="253"/>
      <c r="P29" s="253"/>
      <c r="Q29" s="253"/>
      <c r="R29" s="253"/>
      <c r="S29" s="231"/>
      <c r="T29" s="231"/>
      <c r="U29" s="231"/>
      <c r="V29" s="253"/>
      <c r="W29" s="231"/>
      <c r="X29" s="231"/>
      <c r="Y29" s="231"/>
      <c r="Z29" s="231" t="s">
        <v>78</v>
      </c>
      <c r="AA29" s="254" t="s">
        <v>444</v>
      </c>
      <c r="AB29" s="231"/>
    </row>
    <row r="30" spans="1:28" ht="16.2" customHeight="1" x14ac:dyDescent="0.25">
      <c r="A30" s="231">
        <v>7</v>
      </c>
      <c r="B30" s="251">
        <v>45935</v>
      </c>
      <c r="C30" s="140"/>
      <c r="D30" s="141"/>
      <c r="E30" s="145"/>
      <c r="F30" s="252"/>
      <c r="G30" s="259" t="s">
        <v>468</v>
      </c>
      <c r="H30" s="253"/>
      <c r="I30" s="143"/>
      <c r="J30" s="231"/>
      <c r="K30" s="231"/>
      <c r="L30" s="253"/>
      <c r="M30" s="253"/>
      <c r="N30" s="253"/>
      <c r="O30" s="253"/>
      <c r="P30" s="253"/>
      <c r="Q30" s="253"/>
      <c r="R30" s="253"/>
      <c r="S30" s="231"/>
      <c r="T30" s="231"/>
      <c r="U30" s="231"/>
      <c r="V30" s="253"/>
      <c r="W30" s="231"/>
      <c r="X30" s="231"/>
      <c r="Y30" s="231"/>
      <c r="Z30" s="231" t="s">
        <v>78</v>
      </c>
      <c r="AA30" s="254" t="s">
        <v>444</v>
      </c>
      <c r="AB30" s="231"/>
    </row>
    <row r="31" spans="1:28" ht="16.2" customHeight="1" x14ac:dyDescent="0.25">
      <c r="A31" s="231">
        <v>7</v>
      </c>
      <c r="B31" s="251">
        <v>45935</v>
      </c>
      <c r="C31" s="146"/>
      <c r="D31" s="147"/>
      <c r="E31" s="148"/>
      <c r="F31" s="252"/>
      <c r="G31" s="363" t="s">
        <v>83</v>
      </c>
      <c r="H31" s="364"/>
      <c r="I31" s="365"/>
      <c r="J31" s="366"/>
      <c r="K31" s="366">
        <v>1</v>
      </c>
      <c r="L31" s="364"/>
      <c r="M31" s="364"/>
      <c r="N31" s="364"/>
      <c r="O31" s="364"/>
      <c r="P31" s="364"/>
      <c r="Q31" s="364" t="s">
        <v>78</v>
      </c>
      <c r="R31" s="364"/>
      <c r="S31" s="366"/>
      <c r="T31" s="366">
        <v>70</v>
      </c>
      <c r="U31" s="366" t="s">
        <v>171</v>
      </c>
      <c r="V31" s="364"/>
      <c r="W31" s="366">
        <v>12</v>
      </c>
      <c r="X31" s="366"/>
      <c r="Y31" s="366" t="s">
        <v>207</v>
      </c>
      <c r="Z31" s="364"/>
      <c r="AA31" s="367" t="s">
        <v>445</v>
      </c>
      <c r="AB31" s="368" t="s">
        <v>469</v>
      </c>
    </row>
    <row r="32" spans="1:28" ht="16.2" customHeight="1" x14ac:dyDescent="0.25">
      <c r="A32" s="231">
        <v>7</v>
      </c>
      <c r="B32" s="251">
        <v>45935</v>
      </c>
      <c r="C32" s="140"/>
      <c r="D32" s="141"/>
      <c r="E32" s="145"/>
      <c r="F32" s="252"/>
      <c r="G32" s="363" t="s">
        <v>470</v>
      </c>
      <c r="H32" s="364"/>
      <c r="I32" s="369"/>
      <c r="J32" s="366"/>
      <c r="K32" s="366">
        <v>1</v>
      </c>
      <c r="L32" s="364"/>
      <c r="M32" s="364"/>
      <c r="N32" s="364" t="s">
        <v>471</v>
      </c>
      <c r="O32" s="364"/>
      <c r="P32" s="364" t="s">
        <v>471</v>
      </c>
      <c r="Q32" s="364"/>
      <c r="R32" s="364"/>
      <c r="S32" s="366"/>
      <c r="T32" s="366"/>
      <c r="U32" s="366" t="s">
        <v>171</v>
      </c>
      <c r="V32" s="364"/>
      <c r="W32" s="366">
        <v>12</v>
      </c>
      <c r="X32" s="366" t="s">
        <v>210</v>
      </c>
      <c r="Y32" s="366" t="s">
        <v>210</v>
      </c>
      <c r="Z32" s="364"/>
      <c r="AA32" s="367" t="s">
        <v>148</v>
      </c>
      <c r="AB32" s="366"/>
    </row>
    <row r="33" spans="1:28" ht="16.2" customHeight="1" x14ac:dyDescent="0.25">
      <c r="A33" s="231"/>
      <c r="B33" s="251">
        <v>45935</v>
      </c>
      <c r="C33" s="140"/>
      <c r="D33" s="141"/>
      <c r="E33" s="145"/>
      <c r="F33" s="258">
        <v>45810</v>
      </c>
      <c r="G33" s="350" t="s">
        <v>95</v>
      </c>
      <c r="H33" s="361"/>
      <c r="I33" s="152"/>
      <c r="J33" s="352" t="s">
        <v>78</v>
      </c>
      <c r="K33" s="352">
        <v>3</v>
      </c>
      <c r="L33" s="361"/>
      <c r="M33" s="361"/>
      <c r="N33" s="361"/>
      <c r="O33" s="361"/>
      <c r="P33" s="361"/>
      <c r="Q33" s="361"/>
      <c r="R33" s="361"/>
      <c r="S33" s="352"/>
      <c r="T33" s="352">
        <v>70</v>
      </c>
      <c r="U33" s="352"/>
      <c r="V33" s="361"/>
      <c r="W33" s="352"/>
      <c r="X33" s="352"/>
      <c r="Y33" s="352"/>
      <c r="Z33" s="361"/>
      <c r="AA33" s="353" t="s">
        <v>146</v>
      </c>
      <c r="AB33" s="354" t="s">
        <v>248</v>
      </c>
    </row>
    <row r="34" spans="1:28" ht="16.2" customHeight="1" x14ac:dyDescent="0.25">
      <c r="A34" s="231"/>
      <c r="B34" s="251"/>
      <c r="C34" s="140"/>
      <c r="D34" s="141"/>
      <c r="E34" s="145"/>
      <c r="F34" s="252"/>
      <c r="G34" s="158"/>
      <c r="H34" s="253"/>
      <c r="I34" s="151"/>
      <c r="J34" s="231"/>
      <c r="K34" s="231"/>
      <c r="L34" s="253"/>
      <c r="M34" s="253"/>
      <c r="N34" s="253"/>
      <c r="O34" s="253"/>
      <c r="P34" s="253"/>
      <c r="Q34" s="253"/>
      <c r="R34" s="253"/>
      <c r="S34" s="231"/>
      <c r="T34" s="231"/>
      <c r="U34" s="231"/>
      <c r="V34" s="253"/>
      <c r="W34" s="231"/>
      <c r="X34" s="231"/>
      <c r="Y34" s="231"/>
      <c r="Z34" s="253"/>
      <c r="AA34" s="254"/>
      <c r="AB34" s="231"/>
    </row>
    <row r="35" spans="1:28" ht="16.2" customHeight="1" x14ac:dyDescent="0.25">
      <c r="A35" s="231">
        <v>7</v>
      </c>
      <c r="B35" s="251">
        <v>45942</v>
      </c>
      <c r="C35" s="140"/>
      <c r="D35" s="141"/>
      <c r="E35" s="145"/>
      <c r="F35" s="252"/>
      <c r="G35" s="266" t="s">
        <v>259</v>
      </c>
      <c r="H35" s="253"/>
      <c r="I35" s="267" t="s">
        <v>472</v>
      </c>
      <c r="J35" s="231"/>
      <c r="K35" s="231"/>
      <c r="L35" s="253"/>
      <c r="M35" s="253"/>
      <c r="N35" s="253"/>
      <c r="O35" s="253"/>
      <c r="P35" s="253"/>
      <c r="Q35" s="253"/>
      <c r="R35" s="253"/>
      <c r="S35" s="231"/>
      <c r="T35" s="231"/>
      <c r="U35" s="231"/>
      <c r="V35" s="253"/>
      <c r="W35" s="231"/>
      <c r="X35" s="231"/>
      <c r="Y35" s="231"/>
      <c r="Z35" s="231" t="s">
        <v>78</v>
      </c>
      <c r="AA35" s="254" t="s">
        <v>444</v>
      </c>
      <c r="AB35" s="231"/>
    </row>
    <row r="36" spans="1:28" ht="16.2" customHeight="1" x14ac:dyDescent="0.25">
      <c r="A36" s="231"/>
      <c r="B36" s="251"/>
      <c r="C36" s="146"/>
      <c r="D36" s="147"/>
      <c r="E36" s="148"/>
      <c r="F36" s="252"/>
      <c r="G36" s="139"/>
      <c r="H36" s="253"/>
      <c r="I36" s="267" t="s">
        <v>473</v>
      </c>
      <c r="J36" s="231"/>
      <c r="K36" s="231"/>
      <c r="L36" s="253"/>
      <c r="M36" s="253"/>
      <c r="N36" s="253"/>
      <c r="O36" s="253"/>
      <c r="P36" s="253"/>
      <c r="Q36" s="253"/>
      <c r="R36" s="253"/>
      <c r="S36" s="231"/>
      <c r="T36" s="231"/>
      <c r="U36" s="231"/>
      <c r="V36" s="253"/>
      <c r="W36" s="231"/>
      <c r="X36" s="231"/>
      <c r="Y36" s="231"/>
      <c r="Z36" s="253"/>
      <c r="AA36" s="254"/>
      <c r="AB36" s="231"/>
    </row>
    <row r="37" spans="1:28" ht="16.2" customHeight="1" x14ac:dyDescent="0.25">
      <c r="A37" s="231"/>
      <c r="B37" s="251">
        <v>45948</v>
      </c>
      <c r="C37" s="146"/>
      <c r="D37" s="147"/>
      <c r="E37" s="148"/>
      <c r="F37" s="258">
        <v>45847</v>
      </c>
      <c r="G37" s="139" t="s">
        <v>474</v>
      </c>
      <c r="H37" s="253"/>
      <c r="I37" s="267"/>
      <c r="J37" s="231"/>
      <c r="K37" s="231"/>
      <c r="L37" s="253"/>
      <c r="M37" s="253"/>
      <c r="N37" s="253"/>
      <c r="O37" s="253"/>
      <c r="P37" s="253"/>
      <c r="Q37" s="253"/>
      <c r="R37" s="253"/>
      <c r="S37" s="231"/>
      <c r="T37" s="231"/>
      <c r="U37" s="231"/>
      <c r="V37" s="253"/>
      <c r="W37" s="231"/>
      <c r="X37" s="231"/>
      <c r="Y37" s="231"/>
      <c r="Z37" s="253"/>
      <c r="AA37" s="254"/>
      <c r="AB37" s="231"/>
    </row>
    <row r="38" spans="1:28" ht="16.2" customHeight="1" x14ac:dyDescent="0.25">
      <c r="A38" s="231"/>
      <c r="B38" s="251">
        <v>45949</v>
      </c>
      <c r="C38" s="146"/>
      <c r="D38" s="147"/>
      <c r="E38" s="148"/>
      <c r="F38" s="258">
        <v>45847</v>
      </c>
      <c r="G38" s="139" t="s">
        <v>475</v>
      </c>
      <c r="H38" s="253"/>
      <c r="I38" s="267"/>
      <c r="J38" s="231"/>
      <c r="K38" s="231"/>
      <c r="L38" s="253"/>
      <c r="M38" s="253"/>
      <c r="N38" s="253"/>
      <c r="O38" s="253"/>
      <c r="P38" s="253"/>
      <c r="Q38" s="253"/>
      <c r="R38" s="253"/>
      <c r="S38" s="231"/>
      <c r="T38" s="231"/>
      <c r="U38" s="231"/>
      <c r="V38" s="253"/>
      <c r="W38" s="231"/>
      <c r="X38" s="231"/>
      <c r="Y38" s="231"/>
      <c r="Z38" s="253"/>
      <c r="AA38" s="254"/>
      <c r="AB38" s="231"/>
    </row>
    <row r="39" spans="1:28" ht="16.2" customHeight="1" x14ac:dyDescent="0.25">
      <c r="A39" s="231"/>
      <c r="B39" s="251">
        <v>45949</v>
      </c>
      <c r="C39" s="146"/>
      <c r="D39" s="147"/>
      <c r="E39" s="148"/>
      <c r="F39" s="258">
        <v>45824</v>
      </c>
      <c r="G39" s="268" t="s">
        <v>476</v>
      </c>
      <c r="H39" s="269"/>
      <c r="I39" s="270"/>
      <c r="J39" s="271"/>
      <c r="K39" s="271"/>
      <c r="L39" s="269"/>
      <c r="M39" s="269"/>
      <c r="N39" s="269"/>
      <c r="O39" s="269"/>
      <c r="P39" s="269"/>
      <c r="Q39" s="269"/>
      <c r="R39" s="269"/>
      <c r="S39" s="271"/>
      <c r="T39" s="271"/>
      <c r="U39" s="271"/>
      <c r="V39" s="269"/>
      <c r="W39" s="271" t="s">
        <v>82</v>
      </c>
      <c r="X39" s="271"/>
      <c r="Y39" s="271"/>
      <c r="Z39" s="269"/>
      <c r="AA39" s="272" t="s">
        <v>444</v>
      </c>
      <c r="AB39" s="271"/>
    </row>
    <row r="40" spans="1:28" ht="16.2" customHeight="1" x14ac:dyDescent="0.25">
      <c r="A40" s="231"/>
      <c r="B40" s="251">
        <v>45949</v>
      </c>
      <c r="C40" s="146"/>
      <c r="D40" s="147"/>
      <c r="E40" s="148"/>
      <c r="F40" s="258">
        <v>45810</v>
      </c>
      <c r="G40" s="350" t="s">
        <v>105</v>
      </c>
      <c r="H40" s="361"/>
      <c r="I40" s="370"/>
      <c r="J40" s="352"/>
      <c r="K40" s="352">
        <v>2</v>
      </c>
      <c r="L40" s="361"/>
      <c r="M40" s="361"/>
      <c r="N40" s="361"/>
      <c r="O40" s="361"/>
      <c r="P40" s="361"/>
      <c r="Q40" s="361"/>
      <c r="R40" s="361"/>
      <c r="S40" s="352"/>
      <c r="T40" s="352">
        <v>80</v>
      </c>
      <c r="U40" s="352"/>
      <c r="V40" s="361"/>
      <c r="W40" s="352">
        <v>8</v>
      </c>
      <c r="X40" s="352"/>
      <c r="Y40" s="352" t="s">
        <v>210</v>
      </c>
      <c r="Z40" s="361"/>
      <c r="AA40" s="353" t="s">
        <v>477</v>
      </c>
      <c r="AB40" s="354" t="s">
        <v>253</v>
      </c>
    </row>
    <row r="41" spans="1:28" ht="16.2" customHeight="1" x14ac:dyDescent="0.25">
      <c r="A41" s="231"/>
      <c r="B41" s="251">
        <v>45949</v>
      </c>
      <c r="C41" s="146"/>
      <c r="D41" s="147"/>
      <c r="E41" s="148"/>
      <c r="F41" s="258">
        <v>45821</v>
      </c>
      <c r="G41" s="350" t="s">
        <v>103</v>
      </c>
      <c r="H41" s="361"/>
      <c r="I41" s="370"/>
      <c r="J41" s="352"/>
      <c r="K41" s="352" t="s">
        <v>453</v>
      </c>
      <c r="L41" s="361"/>
      <c r="M41" s="361"/>
      <c r="N41" s="361"/>
      <c r="O41" s="361"/>
      <c r="P41" s="361"/>
      <c r="Q41" s="361"/>
      <c r="R41" s="361"/>
      <c r="S41" s="352"/>
      <c r="T41" s="352">
        <v>70</v>
      </c>
      <c r="U41" s="352"/>
      <c r="V41" s="361"/>
      <c r="W41" s="352">
        <v>16</v>
      </c>
      <c r="X41" s="352"/>
      <c r="Y41" s="352" t="s">
        <v>207</v>
      </c>
      <c r="Z41" s="361"/>
      <c r="AA41" s="353" t="s">
        <v>147</v>
      </c>
      <c r="AB41" s="354" t="s">
        <v>478</v>
      </c>
    </row>
    <row r="42" spans="1:28" ht="16.2" customHeight="1" x14ac:dyDescent="0.25">
      <c r="A42" s="231"/>
      <c r="B42" s="251">
        <v>45949</v>
      </c>
      <c r="C42" s="146"/>
      <c r="D42" s="147"/>
      <c r="E42" s="148"/>
      <c r="F42" s="258">
        <v>45824</v>
      </c>
      <c r="G42" s="350" t="s">
        <v>84</v>
      </c>
      <c r="H42" s="361"/>
      <c r="I42" s="370"/>
      <c r="J42" s="352"/>
      <c r="K42" s="352" t="s">
        <v>453</v>
      </c>
      <c r="L42" s="361"/>
      <c r="M42" s="361"/>
      <c r="N42" s="361"/>
      <c r="O42" s="361"/>
      <c r="P42" s="361"/>
      <c r="Q42" s="361"/>
      <c r="R42" s="361"/>
      <c r="S42" s="352"/>
      <c r="T42" s="352">
        <v>70</v>
      </c>
      <c r="U42" s="352"/>
      <c r="V42" s="361"/>
      <c r="W42" s="352">
        <v>10</v>
      </c>
      <c r="X42" s="352"/>
      <c r="Y42" s="352" t="s">
        <v>207</v>
      </c>
      <c r="Z42" s="361"/>
      <c r="AA42" s="353" t="s">
        <v>150</v>
      </c>
      <c r="AB42" s="354" t="s">
        <v>306</v>
      </c>
    </row>
    <row r="43" spans="1:28" ht="16.2" customHeight="1" x14ac:dyDescent="0.25">
      <c r="A43" s="231"/>
      <c r="B43" s="251">
        <v>45949</v>
      </c>
      <c r="C43" s="146"/>
      <c r="D43" s="147"/>
      <c r="E43" s="148"/>
      <c r="F43" s="258">
        <v>45824</v>
      </c>
      <c r="G43" s="260" t="s">
        <v>462</v>
      </c>
      <c r="H43" s="361"/>
      <c r="I43" s="370"/>
      <c r="J43" s="352"/>
      <c r="K43" s="352">
        <v>2</v>
      </c>
      <c r="L43" s="361"/>
      <c r="M43" s="361"/>
      <c r="N43" s="361"/>
      <c r="O43" s="361"/>
      <c r="P43" s="361"/>
      <c r="Q43" s="361"/>
      <c r="R43" s="361"/>
      <c r="S43" s="352"/>
      <c r="T43" s="352">
        <v>70</v>
      </c>
      <c r="U43" s="352"/>
      <c r="V43" s="361"/>
      <c r="W43" s="352">
        <v>9</v>
      </c>
      <c r="X43" s="352"/>
      <c r="Y43" s="352" t="s">
        <v>210</v>
      </c>
      <c r="Z43" s="361"/>
      <c r="AA43" s="353" t="s">
        <v>145</v>
      </c>
      <c r="AB43" s="354" t="s">
        <v>463</v>
      </c>
    </row>
    <row r="44" spans="1:28" ht="16.2" customHeight="1" x14ac:dyDescent="0.3">
      <c r="A44" s="231"/>
      <c r="B44" s="251"/>
      <c r="C44" s="146" t="s">
        <v>80</v>
      </c>
      <c r="D44" s="147" t="s">
        <v>80</v>
      </c>
      <c r="E44" s="148" t="s">
        <v>80</v>
      </c>
      <c r="F44" s="252"/>
      <c r="G44" s="149"/>
      <c r="H44" s="253"/>
      <c r="I44" s="273" t="s">
        <v>479</v>
      </c>
      <c r="J44" s="231"/>
      <c r="K44" s="231"/>
      <c r="L44" s="253"/>
      <c r="M44" s="253"/>
      <c r="N44" s="253"/>
      <c r="O44" s="253"/>
      <c r="P44" s="253"/>
      <c r="Q44" s="253"/>
      <c r="R44" s="253"/>
      <c r="S44" s="231"/>
      <c r="T44" s="231"/>
      <c r="U44" s="231"/>
      <c r="V44" s="253"/>
      <c r="W44" s="231"/>
      <c r="X44" s="231"/>
      <c r="Y44" s="231"/>
      <c r="Z44" s="253"/>
      <c r="AA44" s="254"/>
      <c r="AB44" s="231"/>
    </row>
    <row r="45" spans="1:28" ht="16.2" customHeight="1" x14ac:dyDescent="0.25">
      <c r="A45" s="231">
        <v>7</v>
      </c>
      <c r="B45" s="251"/>
      <c r="C45" s="146" t="s">
        <v>80</v>
      </c>
      <c r="D45" s="147" t="s">
        <v>80</v>
      </c>
      <c r="E45" s="148" t="s">
        <v>80</v>
      </c>
      <c r="F45" s="252"/>
      <c r="G45" s="158"/>
      <c r="H45" s="253"/>
      <c r="I45" s="267" t="s">
        <v>480</v>
      </c>
      <c r="J45" s="231"/>
      <c r="K45" s="231"/>
      <c r="L45" s="253"/>
      <c r="M45" s="253"/>
      <c r="N45" s="253"/>
      <c r="O45" s="253"/>
      <c r="P45" s="253"/>
      <c r="Q45" s="253"/>
      <c r="R45" s="253"/>
      <c r="S45" s="231"/>
      <c r="T45" s="231"/>
      <c r="U45" s="231"/>
      <c r="V45" s="253"/>
      <c r="W45" s="231"/>
      <c r="X45" s="231"/>
      <c r="Y45" s="231"/>
      <c r="Z45" s="253"/>
      <c r="AA45" s="254"/>
      <c r="AB45" s="231"/>
    </row>
    <row r="46" spans="1:28" ht="16.2" customHeight="1" x14ac:dyDescent="0.25">
      <c r="A46" s="231"/>
      <c r="B46" s="251">
        <v>45956</v>
      </c>
      <c r="C46" s="146" t="s">
        <v>80</v>
      </c>
      <c r="D46" s="147" t="s">
        <v>80</v>
      </c>
      <c r="E46" s="148" t="s">
        <v>80</v>
      </c>
      <c r="F46" s="258">
        <v>45820</v>
      </c>
      <c r="G46" s="350" t="s">
        <v>86</v>
      </c>
      <c r="H46" s="361"/>
      <c r="I46" s="370"/>
      <c r="J46" s="352" t="s">
        <v>78</v>
      </c>
      <c r="K46" s="352">
        <v>2</v>
      </c>
      <c r="L46" s="361"/>
      <c r="M46" s="361"/>
      <c r="N46" s="361"/>
      <c r="O46" s="361"/>
      <c r="P46" s="361"/>
      <c r="Q46" s="361"/>
      <c r="R46" s="361"/>
      <c r="S46" s="352" t="s">
        <v>15</v>
      </c>
      <c r="T46" s="352">
        <v>70</v>
      </c>
      <c r="U46" s="352"/>
      <c r="V46" s="361"/>
      <c r="W46" s="352"/>
      <c r="X46" s="352"/>
      <c r="Y46" s="352" t="s">
        <v>207</v>
      </c>
      <c r="Z46" s="361"/>
      <c r="AA46" s="353" t="s">
        <v>148</v>
      </c>
      <c r="AB46" s="354" t="s">
        <v>245</v>
      </c>
    </row>
    <row r="47" spans="1:28" ht="16.2" customHeight="1" x14ac:dyDescent="0.25">
      <c r="A47" s="231"/>
      <c r="B47" s="251">
        <v>45956</v>
      </c>
      <c r="C47" s="146" t="s">
        <v>80</v>
      </c>
      <c r="D47" s="147" t="s">
        <v>80</v>
      </c>
      <c r="E47" s="148" t="s">
        <v>80</v>
      </c>
      <c r="F47" s="258">
        <v>45824</v>
      </c>
      <c r="G47" s="350" t="s">
        <v>450</v>
      </c>
      <c r="H47" s="361"/>
      <c r="I47" s="370"/>
      <c r="J47" s="352"/>
      <c r="K47" s="352">
        <v>2</v>
      </c>
      <c r="L47" s="361"/>
      <c r="M47" s="361"/>
      <c r="N47" s="361"/>
      <c r="O47" s="361"/>
      <c r="P47" s="361"/>
      <c r="Q47" s="361"/>
      <c r="R47" s="361"/>
      <c r="S47" s="352" t="s">
        <v>15</v>
      </c>
      <c r="T47" s="352">
        <v>70</v>
      </c>
      <c r="U47" s="352"/>
      <c r="V47" s="361"/>
      <c r="W47" s="352">
        <v>12</v>
      </c>
      <c r="X47" s="352"/>
      <c r="Y47" s="352" t="s">
        <v>207</v>
      </c>
      <c r="Z47" s="361"/>
      <c r="AA47" s="353" t="s">
        <v>150</v>
      </c>
      <c r="AB47" s="354" t="s">
        <v>241</v>
      </c>
    </row>
    <row r="48" spans="1:28" ht="16.2" customHeight="1" x14ac:dyDescent="0.25">
      <c r="A48" s="231"/>
      <c r="B48" s="251"/>
      <c r="C48" s="274"/>
      <c r="D48" s="275"/>
      <c r="E48" s="276"/>
      <c r="F48" s="277"/>
      <c r="G48" s="278"/>
      <c r="H48" s="279"/>
      <c r="I48" s="280"/>
      <c r="J48" s="281"/>
      <c r="K48" s="281"/>
      <c r="L48" s="279"/>
      <c r="M48" s="279"/>
      <c r="N48" s="279"/>
      <c r="O48" s="279"/>
      <c r="P48" s="279"/>
      <c r="Q48" s="279"/>
      <c r="R48" s="279"/>
      <c r="S48" s="281"/>
      <c r="T48" s="281"/>
      <c r="U48" s="281"/>
      <c r="V48" s="279"/>
      <c r="W48" s="281"/>
      <c r="X48" s="281"/>
      <c r="Y48" s="281"/>
      <c r="Z48" s="279"/>
      <c r="AA48" s="282"/>
      <c r="AB48" s="231"/>
    </row>
    <row r="49" spans="1:28" ht="32.25" customHeight="1" x14ac:dyDescent="0.25">
      <c r="A49" s="255"/>
      <c r="B49" s="256"/>
      <c r="C49" s="413" t="s">
        <v>481</v>
      </c>
      <c r="D49" s="414"/>
      <c r="E49" s="414"/>
      <c r="F49" s="414"/>
      <c r="G49" s="414"/>
      <c r="H49" s="414"/>
      <c r="I49" s="414"/>
      <c r="J49" s="414"/>
      <c r="K49" s="414"/>
      <c r="L49" s="414"/>
      <c r="M49" s="414"/>
      <c r="N49" s="414"/>
      <c r="O49" s="414"/>
      <c r="P49" s="414"/>
      <c r="Q49" s="414"/>
      <c r="R49" s="414"/>
      <c r="S49" s="414"/>
      <c r="T49" s="414"/>
      <c r="U49" s="414"/>
      <c r="V49" s="414"/>
      <c r="W49" s="414"/>
      <c r="X49" s="414"/>
      <c r="Y49" s="414"/>
      <c r="Z49" s="414"/>
      <c r="AA49" s="415"/>
      <c r="AB49" s="255"/>
    </row>
    <row r="50" spans="1:28" ht="16.2" customHeight="1" x14ac:dyDescent="0.25">
      <c r="A50" s="231">
        <v>6</v>
      </c>
      <c r="B50" s="251">
        <v>45962</v>
      </c>
      <c r="C50" s="146" t="s">
        <v>80</v>
      </c>
      <c r="D50" s="147" t="s">
        <v>80</v>
      </c>
      <c r="E50" s="148" t="s">
        <v>80</v>
      </c>
      <c r="F50" s="252"/>
      <c r="G50" s="158"/>
      <c r="H50" s="253"/>
      <c r="I50" s="283"/>
      <c r="J50" s="231"/>
      <c r="K50" s="231"/>
      <c r="L50" s="253"/>
      <c r="M50" s="253"/>
      <c r="N50" s="253"/>
      <c r="O50" s="253"/>
      <c r="P50" s="253"/>
      <c r="Q50" s="253"/>
      <c r="R50" s="253"/>
      <c r="S50" s="231"/>
      <c r="T50" s="231"/>
      <c r="U50" s="231"/>
      <c r="V50" s="253"/>
      <c r="W50" s="231"/>
      <c r="X50" s="231"/>
      <c r="Y50" s="231"/>
      <c r="Z50" s="253"/>
      <c r="AA50" s="254"/>
      <c r="AB50" s="231"/>
    </row>
    <row r="51" spans="1:28" ht="16.2" customHeight="1" x14ac:dyDescent="0.25">
      <c r="A51" s="231">
        <v>7</v>
      </c>
      <c r="B51" s="251">
        <v>45963</v>
      </c>
      <c r="C51" s="146" t="s">
        <v>80</v>
      </c>
      <c r="D51" s="147" t="s">
        <v>80</v>
      </c>
      <c r="E51" s="148" t="s">
        <v>80</v>
      </c>
      <c r="F51" s="258">
        <v>45820</v>
      </c>
      <c r="G51" s="350" t="s">
        <v>85</v>
      </c>
      <c r="H51" s="361"/>
      <c r="I51" s="371"/>
      <c r="J51" s="352"/>
      <c r="K51" s="352">
        <v>3</v>
      </c>
      <c r="L51" s="361"/>
      <c r="M51" s="361"/>
      <c r="N51" s="361"/>
      <c r="O51" s="361"/>
      <c r="P51" s="361"/>
      <c r="Q51" s="361"/>
      <c r="R51" s="361"/>
      <c r="S51" s="352"/>
      <c r="T51" s="352">
        <v>70</v>
      </c>
      <c r="U51" s="352"/>
      <c r="V51" s="361"/>
      <c r="W51" s="352">
        <v>15</v>
      </c>
      <c r="X51" s="352"/>
      <c r="Y51" s="352" t="s">
        <v>207</v>
      </c>
      <c r="Z51" s="361"/>
      <c r="AA51" s="353" t="s">
        <v>148</v>
      </c>
      <c r="AB51" s="354" t="s">
        <v>482</v>
      </c>
    </row>
    <row r="52" spans="1:28" ht="16.2" customHeight="1" x14ac:dyDescent="0.25">
      <c r="A52" s="231"/>
      <c r="B52" s="251"/>
      <c r="C52" s="146"/>
      <c r="D52" s="147"/>
      <c r="E52" s="148"/>
      <c r="F52" s="252"/>
      <c r="G52" s="158"/>
      <c r="H52" s="253"/>
      <c r="I52" s="283"/>
      <c r="J52" s="231"/>
      <c r="K52" s="231"/>
      <c r="L52" s="253"/>
      <c r="M52" s="253"/>
      <c r="N52" s="253"/>
      <c r="O52" s="253"/>
      <c r="P52" s="253"/>
      <c r="Q52" s="253"/>
      <c r="R52" s="253"/>
      <c r="S52" s="231"/>
      <c r="T52" s="231"/>
      <c r="U52" s="231"/>
      <c r="V52" s="253"/>
      <c r="W52" s="231"/>
      <c r="X52" s="231"/>
      <c r="Y52" s="231"/>
      <c r="Z52" s="253"/>
      <c r="AA52" s="254"/>
      <c r="AB52" s="231"/>
    </row>
    <row r="53" spans="1:28" ht="16.2" customHeight="1" x14ac:dyDescent="0.25">
      <c r="A53" s="231">
        <v>7</v>
      </c>
      <c r="B53" s="251">
        <v>45970</v>
      </c>
      <c r="C53" s="140"/>
      <c r="D53" s="141"/>
      <c r="E53" s="145"/>
      <c r="F53" s="252"/>
      <c r="G53" s="284" t="s">
        <v>483</v>
      </c>
      <c r="H53" s="253"/>
      <c r="I53" s="283"/>
      <c r="J53" s="231"/>
      <c r="K53" s="231"/>
      <c r="L53" s="253"/>
      <c r="M53" s="253"/>
      <c r="N53" s="253"/>
      <c r="O53" s="253"/>
      <c r="P53" s="253"/>
      <c r="Q53" s="253"/>
      <c r="R53" s="253"/>
      <c r="S53" s="231"/>
      <c r="T53" s="231"/>
      <c r="U53" s="231"/>
      <c r="V53" s="253"/>
      <c r="W53" s="231"/>
      <c r="X53" s="231"/>
      <c r="Y53" s="231"/>
      <c r="Z53" s="231" t="s">
        <v>78</v>
      </c>
      <c r="AA53" s="254" t="s">
        <v>444</v>
      </c>
      <c r="AB53" s="231"/>
    </row>
    <row r="54" spans="1:28" ht="16.2" customHeight="1" x14ac:dyDescent="0.25">
      <c r="A54" s="231">
        <v>7</v>
      </c>
      <c r="B54" s="251">
        <v>45970</v>
      </c>
      <c r="C54" s="140"/>
      <c r="D54" s="141"/>
      <c r="E54" s="145"/>
      <c r="F54" s="258">
        <v>45743</v>
      </c>
      <c r="G54" s="372" t="s">
        <v>484</v>
      </c>
      <c r="H54" s="356"/>
      <c r="I54" s="373"/>
      <c r="J54" s="358"/>
      <c r="K54" s="358">
        <v>1</v>
      </c>
      <c r="L54" s="356" t="s">
        <v>78</v>
      </c>
      <c r="M54" s="356"/>
      <c r="N54" s="356"/>
      <c r="O54" s="356"/>
      <c r="P54" s="356"/>
      <c r="Q54" s="356" t="s">
        <v>78</v>
      </c>
      <c r="R54" s="356"/>
      <c r="S54" s="358"/>
      <c r="T54" s="358">
        <v>70</v>
      </c>
      <c r="U54" s="358"/>
      <c r="V54" s="356"/>
      <c r="W54" s="358">
        <v>6</v>
      </c>
      <c r="X54" s="358"/>
      <c r="Y54" s="358" t="s">
        <v>210</v>
      </c>
      <c r="Z54" s="356"/>
      <c r="AA54" s="359" t="s">
        <v>477</v>
      </c>
      <c r="AB54" s="360" t="s">
        <v>485</v>
      </c>
    </row>
    <row r="55" spans="1:28" ht="16.2" customHeight="1" x14ac:dyDescent="0.25">
      <c r="A55" s="231">
        <v>7</v>
      </c>
      <c r="B55" s="251">
        <v>45970</v>
      </c>
      <c r="C55" s="140"/>
      <c r="D55" s="141"/>
      <c r="E55" s="145"/>
      <c r="F55" s="258"/>
      <c r="G55" s="372" t="s">
        <v>447</v>
      </c>
      <c r="H55" s="356"/>
      <c r="I55" s="373"/>
      <c r="J55" s="358"/>
      <c r="K55" s="358">
        <v>1</v>
      </c>
      <c r="L55" s="356"/>
      <c r="M55" s="356"/>
      <c r="N55" s="356" t="s">
        <v>78</v>
      </c>
      <c r="O55" s="356"/>
      <c r="P55" s="356"/>
      <c r="Q55" s="356" t="s">
        <v>78</v>
      </c>
      <c r="R55" s="356"/>
      <c r="S55" s="358"/>
      <c r="T55" s="358">
        <v>70</v>
      </c>
      <c r="U55" s="358" t="s">
        <v>171</v>
      </c>
      <c r="V55" s="356"/>
      <c r="W55" s="358">
        <v>12</v>
      </c>
      <c r="X55" s="358"/>
      <c r="Y55" s="358" t="s">
        <v>207</v>
      </c>
      <c r="Z55" s="356"/>
      <c r="AA55" s="359" t="s">
        <v>448</v>
      </c>
      <c r="AB55" s="360" t="s">
        <v>486</v>
      </c>
    </row>
    <row r="56" spans="1:28" ht="16.2" customHeight="1" x14ac:dyDescent="0.25">
      <c r="A56" s="231"/>
      <c r="B56" s="251">
        <v>45970</v>
      </c>
      <c r="C56" s="140"/>
      <c r="D56" s="141"/>
      <c r="E56" s="145"/>
      <c r="F56" s="258">
        <v>45810</v>
      </c>
      <c r="G56" s="350" t="s">
        <v>79</v>
      </c>
      <c r="H56" s="361"/>
      <c r="I56" s="371"/>
      <c r="J56" s="352"/>
      <c r="K56" s="352">
        <v>2</v>
      </c>
      <c r="L56" s="361"/>
      <c r="M56" s="361"/>
      <c r="N56" s="361"/>
      <c r="O56" s="361"/>
      <c r="P56" s="361"/>
      <c r="Q56" s="361"/>
      <c r="R56" s="361"/>
      <c r="S56" s="352"/>
      <c r="T56" s="352">
        <v>70</v>
      </c>
      <c r="U56" s="352"/>
      <c r="V56" s="361"/>
      <c r="W56" s="352">
        <v>19</v>
      </c>
      <c r="X56" s="352"/>
      <c r="Y56" s="352" t="s">
        <v>207</v>
      </c>
      <c r="Z56" s="361"/>
      <c r="AA56" s="353" t="s">
        <v>146</v>
      </c>
      <c r="AB56" s="354" t="s">
        <v>300</v>
      </c>
    </row>
    <row r="57" spans="1:28" ht="16.2" customHeight="1" x14ac:dyDescent="0.25">
      <c r="A57" s="231">
        <v>9</v>
      </c>
      <c r="B57" s="251">
        <v>45972</v>
      </c>
      <c r="C57" s="140"/>
      <c r="D57" s="150"/>
      <c r="E57" s="145"/>
      <c r="F57" s="252"/>
      <c r="G57" s="158"/>
      <c r="H57" s="253"/>
      <c r="I57" s="283"/>
      <c r="J57" s="231"/>
      <c r="K57" s="231"/>
      <c r="L57" s="253"/>
      <c r="M57" s="253"/>
      <c r="N57" s="253"/>
      <c r="O57" s="253"/>
      <c r="P57" s="253"/>
      <c r="Q57" s="253"/>
      <c r="R57" s="253"/>
      <c r="S57" s="231"/>
      <c r="T57" s="231"/>
      <c r="U57" s="231"/>
      <c r="V57" s="253"/>
      <c r="W57" s="231"/>
      <c r="X57" s="231"/>
      <c r="Y57" s="231"/>
      <c r="Z57" s="253"/>
      <c r="AA57" s="254"/>
      <c r="AB57" s="231"/>
    </row>
    <row r="58" spans="1:28" ht="16.2" customHeight="1" x14ac:dyDescent="0.25">
      <c r="A58" s="231"/>
      <c r="B58" s="251"/>
      <c r="C58" s="140"/>
      <c r="D58" s="150"/>
      <c r="E58" s="145"/>
      <c r="F58" s="252"/>
      <c r="G58" s="158"/>
      <c r="H58" s="253"/>
      <c r="I58" s="283"/>
      <c r="J58" s="231"/>
      <c r="K58" s="231"/>
      <c r="L58" s="253"/>
      <c r="M58" s="253"/>
      <c r="N58" s="253"/>
      <c r="O58" s="253"/>
      <c r="P58" s="253"/>
      <c r="Q58" s="253"/>
      <c r="R58" s="253"/>
      <c r="S58" s="231"/>
      <c r="T58" s="231"/>
      <c r="U58" s="231"/>
      <c r="V58" s="253"/>
      <c r="W58" s="231"/>
      <c r="X58" s="231"/>
      <c r="Y58" s="231"/>
      <c r="Z58" s="253"/>
      <c r="AA58" s="254"/>
      <c r="AB58" s="231"/>
    </row>
    <row r="59" spans="1:28" ht="16.2" customHeight="1" x14ac:dyDescent="0.25">
      <c r="A59" s="231">
        <v>7</v>
      </c>
      <c r="B59" s="251">
        <v>45977</v>
      </c>
      <c r="C59" s="140"/>
      <c r="D59" s="141"/>
      <c r="E59" s="145"/>
      <c r="F59" s="252"/>
      <c r="G59" s="285" t="s">
        <v>258</v>
      </c>
      <c r="H59" s="253"/>
      <c r="I59" s="283"/>
      <c r="J59" s="231"/>
      <c r="K59" s="231"/>
      <c r="L59" s="253"/>
      <c r="M59" s="253"/>
      <c r="N59" s="253"/>
      <c r="O59" s="253"/>
      <c r="P59" s="253"/>
      <c r="Q59" s="253"/>
      <c r="R59" s="253"/>
      <c r="S59" s="231"/>
      <c r="T59" s="231"/>
      <c r="U59" s="231"/>
      <c r="V59" s="253"/>
      <c r="W59" s="231"/>
      <c r="X59" s="231"/>
      <c r="Y59" s="231"/>
      <c r="Z59" s="231" t="s">
        <v>78</v>
      </c>
      <c r="AA59" s="254" t="s">
        <v>444</v>
      </c>
      <c r="AB59" s="231"/>
    </row>
    <row r="60" spans="1:28" s="295" customFormat="1" ht="16.2" customHeight="1" x14ac:dyDescent="0.25">
      <c r="A60" s="286"/>
      <c r="B60" s="287"/>
      <c r="C60" s="288"/>
      <c r="D60" s="289"/>
      <c r="E60" s="288"/>
      <c r="F60" s="290"/>
      <c r="G60" s="291"/>
      <c r="H60" s="292"/>
      <c r="I60" s="293"/>
      <c r="J60" s="286"/>
      <c r="K60" s="286"/>
      <c r="L60" s="292"/>
      <c r="M60" s="292"/>
      <c r="N60" s="292"/>
      <c r="O60" s="292"/>
      <c r="P60" s="292"/>
      <c r="Q60" s="292"/>
      <c r="R60" s="292"/>
      <c r="S60" s="286"/>
      <c r="T60" s="286"/>
      <c r="U60" s="286"/>
      <c r="V60" s="292"/>
      <c r="W60" s="286"/>
      <c r="X60" s="286"/>
      <c r="Y60" s="286"/>
      <c r="Z60" s="292"/>
      <c r="AA60" s="294"/>
      <c r="AB60" s="286"/>
    </row>
    <row r="61" spans="1:28" ht="16.2" customHeight="1" x14ac:dyDescent="0.25">
      <c r="A61" s="231"/>
      <c r="B61" s="251"/>
      <c r="C61" s="140"/>
      <c r="D61" s="141"/>
      <c r="E61" s="145"/>
      <c r="F61" s="252"/>
      <c r="G61" s="158"/>
      <c r="H61" s="253"/>
      <c r="I61" s="283"/>
      <c r="J61" s="231"/>
      <c r="K61" s="231"/>
      <c r="L61" s="253"/>
      <c r="M61" s="253"/>
      <c r="N61" s="253"/>
      <c r="O61" s="253"/>
      <c r="P61" s="253"/>
      <c r="Q61" s="253"/>
      <c r="R61" s="253"/>
      <c r="S61" s="231"/>
      <c r="T61" s="231"/>
      <c r="U61" s="231"/>
      <c r="V61" s="253"/>
      <c r="W61" s="231"/>
      <c r="X61" s="231"/>
      <c r="Y61" s="231"/>
      <c r="Z61" s="253"/>
      <c r="AA61" s="254"/>
      <c r="AB61" s="231"/>
    </row>
    <row r="62" spans="1:28" ht="16.2" customHeight="1" x14ac:dyDescent="0.3">
      <c r="A62" s="231">
        <v>7</v>
      </c>
      <c r="B62" s="251">
        <v>45984</v>
      </c>
      <c r="C62" s="140"/>
      <c r="D62" s="141"/>
      <c r="E62" s="145"/>
      <c r="F62" s="252"/>
      <c r="G62" s="260" t="s">
        <v>487</v>
      </c>
      <c r="H62" s="253"/>
      <c r="I62" s="273" t="s">
        <v>488</v>
      </c>
      <c r="J62" s="231"/>
      <c r="K62" s="231"/>
      <c r="L62" s="253"/>
      <c r="M62" s="253"/>
      <c r="N62" s="253"/>
      <c r="O62" s="253"/>
      <c r="P62" s="253"/>
      <c r="Q62" s="253"/>
      <c r="R62" s="253"/>
      <c r="S62" s="231"/>
      <c r="T62" s="231"/>
      <c r="U62" s="231"/>
      <c r="V62" s="253"/>
      <c r="W62" s="231"/>
      <c r="X62" s="231"/>
      <c r="Y62" s="231"/>
      <c r="Z62" s="231" t="s">
        <v>78</v>
      </c>
      <c r="AA62" s="254" t="s">
        <v>444</v>
      </c>
      <c r="AB62" s="231"/>
    </row>
    <row r="63" spans="1:28" ht="16.2" customHeight="1" x14ac:dyDescent="0.25">
      <c r="A63" s="231"/>
      <c r="B63" s="251"/>
      <c r="C63" s="140"/>
      <c r="D63" s="141"/>
      <c r="E63" s="145"/>
      <c r="F63" s="252"/>
      <c r="G63" s="158"/>
      <c r="H63" s="253"/>
      <c r="I63" s="283" t="s">
        <v>489</v>
      </c>
      <c r="J63" s="231"/>
      <c r="K63" s="231"/>
      <c r="L63" s="253"/>
      <c r="M63" s="253"/>
      <c r="N63" s="253"/>
      <c r="O63" s="253"/>
      <c r="P63" s="253"/>
      <c r="Q63" s="253"/>
      <c r="R63" s="253"/>
      <c r="S63" s="231"/>
      <c r="T63" s="231"/>
      <c r="U63" s="231"/>
      <c r="V63" s="253"/>
      <c r="W63" s="231"/>
      <c r="X63" s="231"/>
      <c r="Y63" s="231"/>
      <c r="Z63" s="253"/>
      <c r="AA63" s="254"/>
      <c r="AB63" s="231"/>
    </row>
    <row r="64" spans="1:28" ht="16.2" customHeight="1" x14ac:dyDescent="0.25">
      <c r="A64" s="231"/>
      <c r="B64" s="251"/>
      <c r="C64" s="140"/>
      <c r="D64" s="141"/>
      <c r="E64" s="145"/>
      <c r="F64" s="252"/>
      <c r="G64" s="296"/>
      <c r="H64" s="253"/>
      <c r="I64" s="283"/>
      <c r="J64" s="231"/>
      <c r="K64" s="231"/>
      <c r="L64" s="253"/>
      <c r="M64" s="253"/>
      <c r="N64" s="253"/>
      <c r="O64" s="253"/>
      <c r="P64" s="253"/>
      <c r="Q64" s="253"/>
      <c r="R64" s="253"/>
      <c r="S64" s="231"/>
      <c r="T64" s="231"/>
      <c r="U64" s="231"/>
      <c r="V64" s="253"/>
      <c r="W64" s="231"/>
      <c r="X64" s="231"/>
      <c r="Y64" s="231"/>
      <c r="Z64" s="253"/>
      <c r="AA64" s="254"/>
      <c r="AB64" s="231"/>
    </row>
    <row r="65" spans="1:28" ht="16.2" customHeight="1" x14ac:dyDescent="0.25">
      <c r="A65" s="231">
        <v>7</v>
      </c>
      <c r="B65" s="251">
        <v>45991</v>
      </c>
      <c r="C65" s="140"/>
      <c r="D65" s="141"/>
      <c r="E65" s="145"/>
      <c r="F65" s="252"/>
      <c r="G65" s="297" t="s">
        <v>490</v>
      </c>
      <c r="H65" s="253"/>
      <c r="I65" s="283"/>
      <c r="J65" s="231"/>
      <c r="K65" s="231"/>
      <c r="L65" s="253"/>
      <c r="M65" s="253"/>
      <c r="N65" s="253"/>
      <c r="O65" s="253"/>
      <c r="P65" s="253"/>
      <c r="Q65" s="253"/>
      <c r="R65" s="253"/>
      <c r="S65" s="231"/>
      <c r="T65" s="231"/>
      <c r="U65" s="231"/>
      <c r="V65" s="253"/>
      <c r="W65" s="231"/>
      <c r="X65" s="231"/>
      <c r="Y65" s="231"/>
      <c r="Z65" s="231" t="s">
        <v>78</v>
      </c>
      <c r="AA65" s="254" t="s">
        <v>444</v>
      </c>
      <c r="AB65" s="231"/>
    </row>
    <row r="66" spans="1:28" ht="16.2" customHeight="1" x14ac:dyDescent="0.25">
      <c r="A66" s="231">
        <v>7</v>
      </c>
      <c r="B66" s="251">
        <v>45991</v>
      </c>
      <c r="C66" s="140"/>
      <c r="D66" s="141"/>
      <c r="E66" s="145"/>
      <c r="F66" s="252"/>
      <c r="G66" s="372" t="s">
        <v>491</v>
      </c>
      <c r="H66" s="356"/>
      <c r="I66" s="373"/>
      <c r="J66" s="358"/>
      <c r="K66" s="358">
        <v>1</v>
      </c>
      <c r="L66" s="356"/>
      <c r="M66" s="356" t="s">
        <v>78</v>
      </c>
      <c r="N66" s="356"/>
      <c r="O66" s="356" t="s">
        <v>242</v>
      </c>
      <c r="P66" s="356" t="s">
        <v>78</v>
      </c>
      <c r="Q66" s="356"/>
      <c r="R66" s="356"/>
      <c r="S66" s="358"/>
      <c r="T66" s="358"/>
      <c r="U66" s="358"/>
      <c r="V66" s="356" t="s">
        <v>82</v>
      </c>
      <c r="W66" s="358">
        <v>6</v>
      </c>
      <c r="X66" s="358"/>
      <c r="Y66" s="358" t="s">
        <v>210</v>
      </c>
      <c r="Z66" s="356"/>
      <c r="AA66" s="359" t="s">
        <v>155</v>
      </c>
      <c r="AB66" s="358" t="s">
        <v>492</v>
      </c>
    </row>
    <row r="67" spans="1:28" ht="16.2" customHeight="1" x14ac:dyDescent="0.25">
      <c r="A67" s="231"/>
      <c r="B67" s="251">
        <v>45991</v>
      </c>
      <c r="C67" s="140"/>
      <c r="D67" s="141"/>
      <c r="E67" s="145"/>
      <c r="F67" s="258">
        <v>45810</v>
      </c>
      <c r="G67" s="350" t="s">
        <v>96</v>
      </c>
      <c r="H67" s="361"/>
      <c r="I67" s="371"/>
      <c r="J67" s="352"/>
      <c r="K67" s="352" t="s">
        <v>81</v>
      </c>
      <c r="L67" s="361"/>
      <c r="M67" s="361"/>
      <c r="N67" s="361"/>
      <c r="O67" s="361"/>
      <c r="P67" s="361"/>
      <c r="Q67" s="361"/>
      <c r="R67" s="361"/>
      <c r="S67" s="352"/>
      <c r="T67" s="352">
        <v>70</v>
      </c>
      <c r="U67" s="352"/>
      <c r="V67" s="361"/>
      <c r="W67" s="352">
        <v>11</v>
      </c>
      <c r="X67" s="352"/>
      <c r="Y67" s="352"/>
      <c r="Z67" s="361"/>
      <c r="AA67" s="353" t="s">
        <v>445</v>
      </c>
      <c r="AB67" s="354" t="s">
        <v>446</v>
      </c>
    </row>
    <row r="68" spans="1:28" ht="16.2" customHeight="1" x14ac:dyDescent="0.25">
      <c r="A68" s="231"/>
      <c r="B68" s="251">
        <v>45991</v>
      </c>
      <c r="C68" s="140"/>
      <c r="D68" s="141"/>
      <c r="E68" s="145"/>
      <c r="F68" s="258">
        <v>45824</v>
      </c>
      <c r="G68" s="350" t="s">
        <v>84</v>
      </c>
      <c r="H68" s="361"/>
      <c r="I68" s="371"/>
      <c r="J68" s="352"/>
      <c r="K68" s="352">
        <v>1</v>
      </c>
      <c r="L68" s="361"/>
      <c r="M68" s="361"/>
      <c r="N68" s="361"/>
      <c r="O68" s="361"/>
      <c r="P68" s="361"/>
      <c r="Q68" s="361"/>
      <c r="R68" s="361"/>
      <c r="S68" s="352"/>
      <c r="T68" s="352">
        <v>70</v>
      </c>
      <c r="U68" s="352"/>
      <c r="V68" s="361"/>
      <c r="W68" s="352">
        <v>8</v>
      </c>
      <c r="X68" s="352"/>
      <c r="Y68" s="352" t="s">
        <v>210</v>
      </c>
      <c r="Z68" s="361"/>
      <c r="AA68" s="353" t="s">
        <v>150</v>
      </c>
      <c r="AB68" s="354" t="s">
        <v>493</v>
      </c>
    </row>
    <row r="69" spans="1:28" ht="16.2" customHeight="1" x14ac:dyDescent="0.25">
      <c r="A69" s="231"/>
      <c r="B69" s="251">
        <v>45991</v>
      </c>
      <c r="C69" s="140"/>
      <c r="D69" s="141"/>
      <c r="E69" s="145"/>
      <c r="F69" s="258">
        <v>45824</v>
      </c>
      <c r="G69" s="350" t="s">
        <v>462</v>
      </c>
      <c r="H69" s="361"/>
      <c r="I69" s="371"/>
      <c r="J69" s="352"/>
      <c r="K69" s="352">
        <v>4</v>
      </c>
      <c r="L69" s="361"/>
      <c r="M69" s="361"/>
      <c r="N69" s="361"/>
      <c r="O69" s="361"/>
      <c r="P69" s="361"/>
      <c r="Q69" s="361"/>
      <c r="R69" s="361"/>
      <c r="S69" s="352"/>
      <c r="T69" s="352">
        <v>70</v>
      </c>
      <c r="U69" s="352"/>
      <c r="V69" s="361"/>
      <c r="W69" s="352">
        <v>11</v>
      </c>
      <c r="X69" s="352"/>
      <c r="Y69" s="352" t="s">
        <v>207</v>
      </c>
      <c r="Z69" s="361"/>
      <c r="AA69" s="353" t="s">
        <v>145</v>
      </c>
      <c r="AB69" s="354" t="s">
        <v>463</v>
      </c>
    </row>
    <row r="70" spans="1:28" ht="16.2" customHeight="1" x14ac:dyDescent="0.25">
      <c r="A70" s="231"/>
      <c r="B70" s="251"/>
      <c r="C70" s="140"/>
      <c r="D70" s="141"/>
      <c r="E70" s="145"/>
      <c r="F70" s="252"/>
      <c r="G70" s="158"/>
      <c r="H70" s="253"/>
      <c r="I70" s="283"/>
      <c r="J70" s="231"/>
      <c r="K70" s="231"/>
      <c r="L70" s="253"/>
      <c r="M70" s="253"/>
      <c r="N70" s="253"/>
      <c r="O70" s="253"/>
      <c r="P70" s="253"/>
      <c r="Q70" s="253"/>
      <c r="R70" s="253"/>
      <c r="S70" s="231"/>
      <c r="T70" s="231"/>
      <c r="U70" s="231"/>
      <c r="V70" s="253"/>
      <c r="W70" s="231"/>
      <c r="X70" s="231"/>
      <c r="Y70" s="231"/>
      <c r="Z70" s="253"/>
      <c r="AA70" s="254"/>
      <c r="AB70" s="231"/>
    </row>
    <row r="71" spans="1:28" ht="36.75" customHeight="1" x14ac:dyDescent="0.25">
      <c r="A71" s="255"/>
      <c r="B71" s="256"/>
      <c r="C71" s="413" t="s">
        <v>494</v>
      </c>
      <c r="D71" s="414"/>
      <c r="E71" s="414"/>
      <c r="F71" s="414"/>
      <c r="G71" s="414"/>
      <c r="H71" s="414"/>
      <c r="I71" s="414"/>
      <c r="J71" s="414"/>
      <c r="K71" s="414"/>
      <c r="L71" s="414"/>
      <c r="M71" s="414"/>
      <c r="N71" s="414"/>
      <c r="O71" s="414"/>
      <c r="P71" s="414"/>
      <c r="Q71" s="414"/>
      <c r="R71" s="414"/>
      <c r="S71" s="414"/>
      <c r="T71" s="414"/>
      <c r="U71" s="414"/>
      <c r="V71" s="414"/>
      <c r="W71" s="414"/>
      <c r="X71" s="414"/>
      <c r="Y71" s="414"/>
      <c r="Z71" s="414"/>
      <c r="AA71" s="415"/>
      <c r="AB71" s="255"/>
    </row>
    <row r="72" spans="1:28" ht="27.75" customHeight="1" x14ac:dyDescent="0.25">
      <c r="A72" s="231"/>
      <c r="B72" s="251"/>
      <c r="C72" s="140"/>
      <c r="D72" s="141"/>
      <c r="E72" s="145"/>
      <c r="F72" s="252"/>
      <c r="G72" s="139"/>
      <c r="H72" s="253"/>
      <c r="I72" s="283"/>
      <c r="J72" s="231"/>
      <c r="K72" s="231"/>
      <c r="L72" s="253"/>
      <c r="M72" s="253"/>
      <c r="N72" s="253"/>
      <c r="O72" s="253"/>
      <c r="P72" s="253"/>
      <c r="Q72" s="253"/>
      <c r="R72" s="253"/>
      <c r="S72" s="231"/>
      <c r="T72" s="231"/>
      <c r="U72" s="231"/>
      <c r="V72" s="253"/>
      <c r="W72" s="231"/>
      <c r="X72" s="231"/>
      <c r="Y72" s="231"/>
      <c r="Z72" s="253"/>
      <c r="AA72" s="254"/>
      <c r="AB72" s="231"/>
    </row>
    <row r="73" spans="1:28" ht="16.2" customHeight="1" x14ac:dyDescent="0.25">
      <c r="A73" s="231">
        <v>7</v>
      </c>
      <c r="B73" s="251">
        <v>45998</v>
      </c>
      <c r="C73" s="140"/>
      <c r="D73" s="141"/>
      <c r="E73" s="145"/>
      <c r="F73" s="252"/>
      <c r="G73" s="298" t="s">
        <v>495</v>
      </c>
      <c r="H73" s="253"/>
      <c r="I73" s="283"/>
      <c r="J73" s="231"/>
      <c r="K73" s="231"/>
      <c r="L73" s="253"/>
      <c r="M73" s="253"/>
      <c r="N73" s="253"/>
      <c r="O73" s="253"/>
      <c r="P73" s="253"/>
      <c r="Q73" s="253"/>
      <c r="R73" s="253"/>
      <c r="S73" s="231"/>
      <c r="T73" s="231"/>
      <c r="U73" s="231"/>
      <c r="V73" s="253"/>
      <c r="W73" s="231"/>
      <c r="X73" s="231"/>
      <c r="Y73" s="231"/>
      <c r="Z73" s="231" t="s">
        <v>78</v>
      </c>
      <c r="AA73" s="254" t="s">
        <v>444</v>
      </c>
      <c r="AB73" s="231"/>
    </row>
    <row r="74" spans="1:28" ht="16.2" customHeight="1" x14ac:dyDescent="0.25">
      <c r="A74" s="231"/>
      <c r="B74" s="251">
        <v>45998</v>
      </c>
      <c r="C74" s="140"/>
      <c r="D74" s="141"/>
      <c r="E74" s="145"/>
      <c r="F74" s="258">
        <v>45810</v>
      </c>
      <c r="G74" s="260" t="s">
        <v>95</v>
      </c>
      <c r="H74" s="361"/>
      <c r="I74" s="371"/>
      <c r="J74" s="352" t="s">
        <v>78</v>
      </c>
      <c r="K74" s="352">
        <v>3</v>
      </c>
      <c r="L74" s="361"/>
      <c r="M74" s="361"/>
      <c r="N74" s="361"/>
      <c r="O74" s="361"/>
      <c r="P74" s="361"/>
      <c r="Q74" s="361"/>
      <c r="R74" s="361"/>
      <c r="S74" s="352"/>
      <c r="T74" s="352">
        <v>70</v>
      </c>
      <c r="U74" s="352"/>
      <c r="V74" s="361"/>
      <c r="W74" s="352"/>
      <c r="X74" s="352"/>
      <c r="Y74" s="352"/>
      <c r="Z74" s="352"/>
      <c r="AA74" s="353" t="s">
        <v>146</v>
      </c>
      <c r="AB74" s="354" t="s">
        <v>496</v>
      </c>
    </row>
    <row r="75" spans="1:28" ht="16.2" customHeight="1" x14ac:dyDescent="0.25">
      <c r="A75" s="231"/>
      <c r="B75" s="251">
        <v>45998</v>
      </c>
      <c r="C75" s="140"/>
      <c r="D75" s="141"/>
      <c r="E75" s="145"/>
      <c r="F75" s="258">
        <v>45821</v>
      </c>
      <c r="G75" s="260" t="s">
        <v>154</v>
      </c>
      <c r="H75" s="361"/>
      <c r="I75" s="371"/>
      <c r="J75" s="352"/>
      <c r="K75" s="352">
        <v>2</v>
      </c>
      <c r="L75" s="361"/>
      <c r="M75" s="361"/>
      <c r="N75" s="361"/>
      <c r="O75" s="361"/>
      <c r="P75" s="361"/>
      <c r="Q75" s="361"/>
      <c r="R75" s="361"/>
      <c r="S75" s="352"/>
      <c r="T75" s="352">
        <v>70</v>
      </c>
      <c r="U75" s="352"/>
      <c r="V75" s="361"/>
      <c r="W75" s="352">
        <v>8</v>
      </c>
      <c r="X75" s="352"/>
      <c r="Y75" s="352" t="s">
        <v>210</v>
      </c>
      <c r="Z75" s="352"/>
      <c r="AA75" s="353" t="s">
        <v>445</v>
      </c>
      <c r="AB75" s="354" t="s">
        <v>497</v>
      </c>
    </row>
    <row r="76" spans="1:28" ht="16.2" customHeight="1" x14ac:dyDescent="0.25">
      <c r="A76" s="231"/>
      <c r="B76" s="251">
        <v>45998</v>
      </c>
      <c r="C76" s="140"/>
      <c r="D76" s="141"/>
      <c r="E76" s="145"/>
      <c r="F76" s="258">
        <v>45848</v>
      </c>
      <c r="G76" s="350" t="s">
        <v>153</v>
      </c>
      <c r="H76" s="361"/>
      <c r="I76" s="371"/>
      <c r="J76" s="352"/>
      <c r="K76" s="352">
        <v>2</v>
      </c>
      <c r="L76" s="361"/>
      <c r="M76" s="361"/>
      <c r="N76" s="361"/>
      <c r="O76" s="361"/>
      <c r="P76" s="361"/>
      <c r="Q76" s="361"/>
      <c r="R76" s="361"/>
      <c r="S76" s="352"/>
      <c r="T76" s="352">
        <v>70</v>
      </c>
      <c r="U76" s="352"/>
      <c r="V76" s="361"/>
      <c r="W76" s="352">
        <v>8</v>
      </c>
      <c r="X76" s="352"/>
      <c r="Y76" s="352" t="s">
        <v>210</v>
      </c>
      <c r="Z76" s="361"/>
      <c r="AA76" s="353" t="s">
        <v>151</v>
      </c>
      <c r="AB76" s="354" t="s">
        <v>498</v>
      </c>
    </row>
    <row r="77" spans="1:28" ht="16.2" customHeight="1" x14ac:dyDescent="0.25">
      <c r="A77" s="231"/>
      <c r="B77" s="251"/>
      <c r="C77" s="140"/>
      <c r="D77" s="141"/>
      <c r="E77" s="145"/>
      <c r="F77" s="252"/>
      <c r="G77" s="158"/>
      <c r="H77" s="253"/>
      <c r="I77" s="283"/>
      <c r="J77" s="231"/>
      <c r="K77" s="231"/>
      <c r="L77" s="253"/>
      <c r="M77" s="253"/>
      <c r="N77" s="253"/>
      <c r="O77" s="253"/>
      <c r="P77" s="253"/>
      <c r="Q77" s="253"/>
      <c r="R77" s="253"/>
      <c r="S77" s="231"/>
      <c r="T77" s="231"/>
      <c r="U77" s="231"/>
      <c r="V77" s="253"/>
      <c r="W77" s="231"/>
      <c r="X77" s="231"/>
      <c r="Y77" s="231"/>
      <c r="Z77" s="253"/>
      <c r="AA77" s="254"/>
      <c r="AB77" s="231"/>
    </row>
    <row r="78" spans="1:28" ht="16.2" customHeight="1" x14ac:dyDescent="0.25">
      <c r="A78" s="231">
        <v>7</v>
      </c>
      <c r="B78" s="251">
        <v>46005</v>
      </c>
      <c r="C78" s="140"/>
      <c r="D78" s="141"/>
      <c r="E78" s="145"/>
      <c r="F78" s="258">
        <v>45810</v>
      </c>
      <c r="G78" s="260" t="s">
        <v>301</v>
      </c>
      <c r="H78" s="361"/>
      <c r="I78" s="374"/>
      <c r="J78" s="352"/>
      <c r="K78" s="375" t="s">
        <v>209</v>
      </c>
      <c r="L78" s="361"/>
      <c r="M78" s="361"/>
      <c r="N78" s="361"/>
      <c r="O78" s="361"/>
      <c r="P78" s="361"/>
      <c r="Q78" s="361"/>
      <c r="R78" s="361"/>
      <c r="S78" s="352"/>
      <c r="T78" s="352">
        <v>70</v>
      </c>
      <c r="U78" s="352"/>
      <c r="V78" s="361"/>
      <c r="W78" s="352">
        <v>14</v>
      </c>
      <c r="X78" s="352"/>
      <c r="Y78" s="352" t="s">
        <v>207</v>
      </c>
      <c r="Z78" s="361"/>
      <c r="AA78" s="353" t="s">
        <v>146</v>
      </c>
      <c r="AB78" s="354" t="s">
        <v>302</v>
      </c>
    </row>
    <row r="79" spans="1:28" ht="16.2" customHeight="1" x14ac:dyDescent="0.25">
      <c r="A79" s="231"/>
      <c r="B79" s="251">
        <v>46005</v>
      </c>
      <c r="C79" s="140"/>
      <c r="D79" s="141"/>
      <c r="E79" s="145"/>
      <c r="F79" s="258">
        <v>45824</v>
      </c>
      <c r="G79" s="260" t="s">
        <v>451</v>
      </c>
      <c r="H79" s="361"/>
      <c r="I79" s="374"/>
      <c r="J79" s="352"/>
      <c r="K79" s="376">
        <v>2</v>
      </c>
      <c r="L79" s="361"/>
      <c r="M79" s="361"/>
      <c r="N79" s="361"/>
      <c r="O79" s="361"/>
      <c r="P79" s="361"/>
      <c r="Q79" s="361"/>
      <c r="R79" s="361"/>
      <c r="S79" s="352"/>
      <c r="T79" s="352">
        <v>70</v>
      </c>
      <c r="U79" s="352"/>
      <c r="V79" s="361"/>
      <c r="W79" s="352">
        <v>8</v>
      </c>
      <c r="X79" s="352"/>
      <c r="Y79" s="352" t="s">
        <v>210</v>
      </c>
      <c r="Z79" s="361"/>
      <c r="AA79" s="353" t="s">
        <v>145</v>
      </c>
      <c r="AB79" s="354" t="s">
        <v>249</v>
      </c>
    </row>
    <row r="80" spans="1:28" ht="16.2" customHeight="1" x14ac:dyDescent="0.25">
      <c r="A80" s="231"/>
      <c r="B80" s="251"/>
      <c r="C80" s="140"/>
      <c r="D80" s="141"/>
      <c r="E80" s="142"/>
      <c r="F80" s="252"/>
      <c r="G80" s="139"/>
      <c r="H80" s="253"/>
      <c r="I80" s="283"/>
      <c r="J80" s="231"/>
      <c r="K80" s="231"/>
      <c r="L80" s="253"/>
      <c r="M80" s="253"/>
      <c r="N80" s="253"/>
      <c r="O80" s="253"/>
      <c r="P80" s="253"/>
      <c r="Q80" s="253"/>
      <c r="R80" s="253"/>
      <c r="S80" s="231"/>
      <c r="T80" s="231"/>
      <c r="U80" s="231"/>
      <c r="V80" s="253"/>
      <c r="W80" s="231"/>
      <c r="X80" s="231"/>
      <c r="Y80" s="231"/>
      <c r="Z80" s="253"/>
      <c r="AA80" s="254"/>
      <c r="AB80" s="231"/>
    </row>
    <row r="81" spans="1:28" ht="16.2" customHeight="1" x14ac:dyDescent="0.25">
      <c r="A81" s="231"/>
      <c r="B81" s="251">
        <v>46011</v>
      </c>
      <c r="C81" s="140"/>
      <c r="D81" s="141"/>
      <c r="E81" s="142"/>
      <c r="F81" s="258">
        <v>45811</v>
      </c>
      <c r="G81" s="260" t="s">
        <v>104</v>
      </c>
      <c r="H81" s="361"/>
      <c r="I81" s="371"/>
      <c r="J81" s="352" t="s">
        <v>78</v>
      </c>
      <c r="K81" s="352">
        <v>3</v>
      </c>
      <c r="L81" s="361"/>
      <c r="M81" s="361"/>
      <c r="N81" s="361"/>
      <c r="O81" s="361"/>
      <c r="P81" s="361"/>
      <c r="Q81" s="361"/>
      <c r="R81" s="361"/>
      <c r="S81" s="352"/>
      <c r="T81" s="352">
        <v>70</v>
      </c>
      <c r="U81" s="352"/>
      <c r="V81" s="361"/>
      <c r="W81" s="352"/>
      <c r="X81" s="352"/>
      <c r="Y81" s="352"/>
      <c r="Z81" s="361"/>
      <c r="AA81" s="353" t="s">
        <v>149</v>
      </c>
      <c r="AB81" s="354" t="s">
        <v>499</v>
      </c>
    </row>
    <row r="82" spans="1:28" ht="16.2" customHeight="1" x14ac:dyDescent="0.25">
      <c r="A82" s="231"/>
      <c r="B82" s="251"/>
      <c r="C82" s="140"/>
      <c r="D82" s="141"/>
      <c r="E82" s="142"/>
      <c r="F82" s="258"/>
      <c r="G82" s="264"/>
      <c r="H82" s="299"/>
      <c r="I82" s="300"/>
      <c r="J82" s="301"/>
      <c r="K82" s="301"/>
      <c r="L82" s="299"/>
      <c r="M82" s="299"/>
      <c r="N82" s="299"/>
      <c r="O82" s="299"/>
      <c r="P82" s="299"/>
      <c r="Q82" s="299"/>
      <c r="R82" s="299"/>
      <c r="S82" s="301"/>
      <c r="T82" s="301"/>
      <c r="U82" s="301"/>
      <c r="V82" s="299"/>
      <c r="W82" s="301"/>
      <c r="X82" s="301"/>
      <c r="Y82" s="301"/>
      <c r="Z82" s="299"/>
      <c r="AA82" s="302"/>
      <c r="AB82" s="301"/>
    </row>
    <row r="83" spans="1:28" ht="16.2" customHeight="1" x14ac:dyDescent="0.25">
      <c r="A83" s="231"/>
      <c r="B83" s="251">
        <v>46012</v>
      </c>
      <c r="C83" s="146" t="s">
        <v>80</v>
      </c>
      <c r="D83" s="147" t="s">
        <v>80</v>
      </c>
      <c r="E83" s="148" t="s">
        <v>80</v>
      </c>
      <c r="F83" s="258">
        <v>45821</v>
      </c>
      <c r="G83" s="260" t="s">
        <v>89</v>
      </c>
      <c r="H83" s="361"/>
      <c r="I83" s="371"/>
      <c r="J83" s="352"/>
      <c r="K83" s="352" t="s">
        <v>500</v>
      </c>
      <c r="L83" s="361"/>
      <c r="M83" s="361"/>
      <c r="N83" s="361"/>
      <c r="O83" s="361"/>
      <c r="P83" s="361"/>
      <c r="Q83" s="361"/>
      <c r="R83" s="361"/>
      <c r="S83" s="352"/>
      <c r="T83" s="352">
        <v>70</v>
      </c>
      <c r="U83" s="352"/>
      <c r="V83" s="361"/>
      <c r="W83" s="352">
        <v>18</v>
      </c>
      <c r="X83" s="352"/>
      <c r="Y83" s="352" t="s">
        <v>207</v>
      </c>
      <c r="Z83" s="361"/>
      <c r="AA83" s="353" t="s">
        <v>445</v>
      </c>
      <c r="AB83" s="354" t="s">
        <v>501</v>
      </c>
    </row>
    <row r="84" spans="1:28" ht="16.2" customHeight="1" x14ac:dyDescent="0.25">
      <c r="A84" s="231">
        <v>7</v>
      </c>
      <c r="C84" s="233"/>
      <c r="D84" s="233"/>
      <c r="E84" s="233"/>
      <c r="F84" s="252"/>
      <c r="G84" s="158"/>
      <c r="H84" s="253"/>
      <c r="I84" s="283"/>
      <c r="J84" s="231"/>
      <c r="K84" s="231"/>
      <c r="L84" s="253"/>
      <c r="M84" s="253"/>
      <c r="N84" s="253"/>
      <c r="O84" s="253"/>
      <c r="P84" s="253"/>
      <c r="Q84" s="253"/>
      <c r="R84" s="253"/>
      <c r="S84" s="231"/>
      <c r="T84" s="231"/>
      <c r="U84" s="231"/>
      <c r="V84" s="253"/>
      <c r="W84" s="231"/>
      <c r="X84" s="231"/>
      <c r="Y84" s="231"/>
      <c r="Z84" s="253"/>
      <c r="AA84" s="254"/>
      <c r="AB84" s="231"/>
    </row>
    <row r="85" spans="1:28" ht="16.2" customHeight="1" x14ac:dyDescent="0.25">
      <c r="A85" s="231">
        <v>4</v>
      </c>
      <c r="B85" s="251">
        <v>46016</v>
      </c>
      <c r="C85" s="146" t="s">
        <v>80</v>
      </c>
      <c r="D85" s="147" t="s">
        <v>80</v>
      </c>
      <c r="E85" s="148" t="s">
        <v>80</v>
      </c>
      <c r="F85" s="252"/>
      <c r="G85" s="158"/>
      <c r="H85" s="253"/>
      <c r="I85" s="283"/>
      <c r="J85" s="231"/>
      <c r="K85" s="231"/>
      <c r="L85" s="253"/>
      <c r="M85" s="253"/>
      <c r="N85" s="253"/>
      <c r="O85" s="253"/>
      <c r="P85" s="253"/>
      <c r="Q85" s="253"/>
      <c r="R85" s="253"/>
      <c r="S85" s="231"/>
      <c r="T85" s="231"/>
      <c r="U85" s="231"/>
      <c r="V85" s="253"/>
      <c r="W85" s="231"/>
      <c r="X85" s="231"/>
      <c r="Y85" s="231"/>
      <c r="Z85" s="253"/>
      <c r="AA85" s="254"/>
      <c r="AB85" s="231"/>
    </row>
    <row r="86" spans="1:28" ht="16.2" customHeight="1" x14ac:dyDescent="0.25">
      <c r="A86" s="231">
        <v>7</v>
      </c>
      <c r="B86" s="251">
        <v>46019</v>
      </c>
      <c r="C86" s="146" t="s">
        <v>80</v>
      </c>
      <c r="D86" s="147" t="s">
        <v>80</v>
      </c>
      <c r="E86" s="148" t="s">
        <v>80</v>
      </c>
      <c r="F86" s="252"/>
      <c r="G86" s="158"/>
      <c r="H86" s="253"/>
      <c r="I86" s="283"/>
      <c r="J86" s="231"/>
      <c r="K86" s="231"/>
      <c r="L86" s="253"/>
      <c r="M86" s="253"/>
      <c r="N86" s="253"/>
      <c r="O86" s="253"/>
      <c r="P86" s="253"/>
      <c r="Q86" s="253"/>
      <c r="R86" s="253"/>
      <c r="S86" s="231"/>
      <c r="T86" s="231"/>
      <c r="U86" s="231"/>
      <c r="V86" s="253"/>
      <c r="W86" s="231"/>
      <c r="X86" s="231"/>
      <c r="Y86" s="231"/>
      <c r="Z86" s="253"/>
      <c r="AA86" s="254"/>
      <c r="AB86" s="231"/>
    </row>
    <row r="87" spans="1:28" ht="16.2" customHeight="1" x14ac:dyDescent="0.25">
      <c r="A87" s="231"/>
      <c r="B87" s="251"/>
      <c r="C87" s="146"/>
      <c r="D87" s="147"/>
      <c r="E87" s="148"/>
      <c r="F87" s="252"/>
      <c r="G87" s="158"/>
      <c r="H87" s="253"/>
      <c r="I87" s="283"/>
      <c r="J87" s="231"/>
      <c r="K87" s="231"/>
      <c r="L87" s="253"/>
      <c r="M87" s="253"/>
      <c r="N87" s="253"/>
      <c r="O87" s="253"/>
      <c r="P87" s="253"/>
      <c r="Q87" s="253"/>
      <c r="R87" s="253"/>
      <c r="S87" s="231"/>
      <c r="T87" s="231"/>
      <c r="U87" s="231"/>
      <c r="V87" s="253"/>
      <c r="W87" s="231"/>
      <c r="X87" s="231"/>
      <c r="Y87" s="231"/>
      <c r="Z87" s="253"/>
      <c r="AA87" s="254"/>
      <c r="AB87" s="231"/>
    </row>
    <row r="88" spans="1:28" ht="31.5" customHeight="1" x14ac:dyDescent="0.25">
      <c r="A88" s="255"/>
      <c r="B88" s="256"/>
      <c r="C88" s="413" t="s">
        <v>502</v>
      </c>
      <c r="D88" s="426"/>
      <c r="E88" s="426"/>
      <c r="F88" s="426"/>
      <c r="G88" s="426"/>
      <c r="H88" s="426"/>
      <c r="I88" s="426"/>
      <c r="J88" s="426"/>
      <c r="K88" s="426"/>
      <c r="L88" s="426"/>
      <c r="M88" s="426"/>
      <c r="N88" s="426"/>
      <c r="O88" s="426"/>
      <c r="P88" s="426"/>
      <c r="Q88" s="426"/>
      <c r="R88" s="426"/>
      <c r="S88" s="426"/>
      <c r="T88" s="426"/>
      <c r="U88" s="426"/>
      <c r="V88" s="426"/>
      <c r="W88" s="426"/>
      <c r="X88" s="426"/>
      <c r="Y88" s="426"/>
      <c r="Z88" s="426"/>
      <c r="AA88" s="427"/>
      <c r="AB88" s="255"/>
    </row>
    <row r="89" spans="1:28" ht="16.2" customHeight="1" x14ac:dyDescent="0.25">
      <c r="A89" s="231"/>
      <c r="B89" s="251"/>
      <c r="C89" s="146"/>
      <c r="D89" s="147"/>
      <c r="E89" s="148"/>
      <c r="F89" s="252"/>
      <c r="G89" s="158"/>
      <c r="H89" s="253"/>
      <c r="I89" s="283"/>
      <c r="J89" s="231"/>
      <c r="K89" s="231"/>
      <c r="L89" s="253"/>
      <c r="M89" s="253"/>
      <c r="N89" s="253"/>
      <c r="O89" s="253"/>
      <c r="P89" s="253"/>
      <c r="Q89" s="253"/>
      <c r="R89" s="253"/>
      <c r="S89" s="231"/>
      <c r="T89" s="231"/>
      <c r="U89" s="231"/>
      <c r="V89" s="253"/>
      <c r="W89" s="231"/>
      <c r="X89" s="231"/>
      <c r="Y89" s="231"/>
      <c r="Z89" s="253"/>
      <c r="AA89" s="254"/>
      <c r="AB89" s="231"/>
    </row>
    <row r="90" spans="1:28" ht="16.2" customHeight="1" x14ac:dyDescent="0.25">
      <c r="A90" s="231">
        <v>4</v>
      </c>
      <c r="B90" s="251">
        <v>46023</v>
      </c>
      <c r="C90" s="146" t="s">
        <v>80</v>
      </c>
      <c r="D90" s="147" t="s">
        <v>80</v>
      </c>
      <c r="E90" s="148" t="s">
        <v>80</v>
      </c>
      <c r="F90" s="252"/>
      <c r="G90" s="158"/>
      <c r="H90" s="253"/>
      <c r="I90" s="283"/>
      <c r="J90" s="231"/>
      <c r="K90" s="231"/>
      <c r="L90" s="253"/>
      <c r="M90" s="253"/>
      <c r="N90" s="253"/>
      <c r="O90" s="253"/>
      <c r="P90" s="253"/>
      <c r="Q90" s="253"/>
      <c r="R90" s="253"/>
      <c r="S90" s="231"/>
      <c r="T90" s="231"/>
      <c r="U90" s="231"/>
      <c r="V90" s="253"/>
      <c r="W90" s="231"/>
      <c r="X90" s="231"/>
      <c r="Y90" s="231"/>
      <c r="Z90" s="253"/>
      <c r="AA90" s="254"/>
      <c r="AB90" s="231"/>
    </row>
    <row r="91" spans="1:28" ht="16.2" customHeight="1" x14ac:dyDescent="0.25">
      <c r="A91" s="231"/>
      <c r="B91" s="251">
        <v>46023</v>
      </c>
      <c r="C91" s="146" t="s">
        <v>80</v>
      </c>
      <c r="D91" s="147" t="s">
        <v>80</v>
      </c>
      <c r="E91" s="148" t="s">
        <v>80</v>
      </c>
      <c r="F91" s="252"/>
      <c r="G91" s="355" t="s">
        <v>95</v>
      </c>
      <c r="H91" s="356"/>
      <c r="I91" s="373"/>
      <c r="J91" s="358"/>
      <c r="K91" s="358">
        <v>2</v>
      </c>
      <c r="L91" s="356"/>
      <c r="M91" s="356"/>
      <c r="N91" s="356"/>
      <c r="O91" s="356"/>
      <c r="P91" s="356"/>
      <c r="Q91" s="356" t="s">
        <v>78</v>
      </c>
      <c r="R91" s="356"/>
      <c r="S91" s="358"/>
      <c r="T91" s="358">
        <v>70</v>
      </c>
      <c r="U91" s="358"/>
      <c r="V91" s="356"/>
      <c r="W91" s="358">
        <v>8</v>
      </c>
      <c r="X91" s="358"/>
      <c r="Y91" s="358" t="s">
        <v>210</v>
      </c>
      <c r="Z91" s="356"/>
      <c r="AA91" s="359" t="s">
        <v>146</v>
      </c>
      <c r="AB91" s="358" t="s">
        <v>503</v>
      </c>
    </row>
    <row r="92" spans="1:28" ht="16.2" customHeight="1" x14ac:dyDescent="0.25">
      <c r="A92" s="231"/>
      <c r="B92" s="251"/>
      <c r="C92" s="146"/>
      <c r="D92" s="147"/>
      <c r="E92" s="148"/>
      <c r="F92" s="252"/>
      <c r="G92" s="158"/>
      <c r="H92" s="253"/>
      <c r="I92" s="283"/>
      <c r="J92" s="231"/>
      <c r="K92" s="231"/>
      <c r="L92" s="253"/>
      <c r="M92" s="253"/>
      <c r="N92" s="253"/>
      <c r="O92" s="253"/>
      <c r="P92" s="253"/>
      <c r="Q92" s="253"/>
      <c r="R92" s="253"/>
      <c r="S92" s="231"/>
      <c r="T92" s="231"/>
      <c r="U92" s="231"/>
      <c r="V92" s="253"/>
      <c r="W92" s="231"/>
      <c r="X92" s="231"/>
      <c r="Y92" s="231"/>
      <c r="Z92" s="253"/>
      <c r="AA92" s="254"/>
      <c r="AB92" s="231"/>
    </row>
    <row r="93" spans="1:28" ht="16.2" customHeight="1" x14ac:dyDescent="0.25">
      <c r="A93" s="231">
        <v>7</v>
      </c>
      <c r="B93" s="251">
        <v>46033</v>
      </c>
      <c r="C93" s="140"/>
      <c r="D93" s="141"/>
      <c r="E93" s="142"/>
      <c r="F93" s="252"/>
      <c r="G93" s="257" t="s">
        <v>213</v>
      </c>
      <c r="H93" s="253"/>
      <c r="I93" s="283"/>
      <c r="J93" s="231"/>
      <c r="K93" s="231"/>
      <c r="L93" s="253"/>
      <c r="M93" s="253"/>
      <c r="N93" s="253"/>
      <c r="O93" s="253"/>
      <c r="P93" s="253"/>
      <c r="Q93" s="253"/>
      <c r="R93" s="253"/>
      <c r="S93" s="231"/>
      <c r="T93" s="231"/>
      <c r="U93" s="231"/>
      <c r="V93" s="253"/>
      <c r="W93" s="231"/>
      <c r="X93" s="231"/>
      <c r="Y93" s="231"/>
      <c r="Z93" s="231" t="s">
        <v>78</v>
      </c>
      <c r="AA93" s="254" t="s">
        <v>444</v>
      </c>
      <c r="AB93" s="231"/>
    </row>
    <row r="94" spans="1:28" ht="16.2" customHeight="1" x14ac:dyDescent="0.25">
      <c r="A94" s="231">
        <v>7</v>
      </c>
      <c r="B94" s="251">
        <v>46033</v>
      </c>
      <c r="C94" s="140"/>
      <c r="D94" s="141"/>
      <c r="E94" s="142"/>
      <c r="F94" s="252"/>
      <c r="G94" s="372" t="s">
        <v>504</v>
      </c>
      <c r="H94" s="356"/>
      <c r="I94" s="373"/>
      <c r="J94" s="358"/>
      <c r="K94" s="358">
        <v>1</v>
      </c>
      <c r="L94" s="356" t="s">
        <v>505</v>
      </c>
      <c r="M94" s="356"/>
      <c r="N94" s="356"/>
      <c r="O94" s="356"/>
      <c r="P94" s="356"/>
      <c r="Q94" s="356" t="s">
        <v>78</v>
      </c>
      <c r="R94" s="356"/>
      <c r="S94" s="358"/>
      <c r="T94" s="358">
        <v>70</v>
      </c>
      <c r="U94" s="358"/>
      <c r="V94" s="356"/>
      <c r="W94" s="358">
        <v>6</v>
      </c>
      <c r="X94" s="358" t="s">
        <v>210</v>
      </c>
      <c r="Y94" s="358" t="s">
        <v>210</v>
      </c>
      <c r="Z94" s="356"/>
      <c r="AA94" s="359" t="s">
        <v>147</v>
      </c>
      <c r="AB94" s="358" t="s">
        <v>506</v>
      </c>
    </row>
    <row r="95" spans="1:28" ht="16.2" customHeight="1" x14ac:dyDescent="0.25">
      <c r="A95" s="231"/>
      <c r="B95" s="251">
        <v>46033</v>
      </c>
      <c r="C95" s="146"/>
      <c r="D95" s="147"/>
      <c r="E95" s="148"/>
      <c r="F95" s="258">
        <v>45777</v>
      </c>
      <c r="G95" s="372" t="s">
        <v>507</v>
      </c>
      <c r="H95" s="356"/>
      <c r="I95" s="373"/>
      <c r="J95" s="358"/>
      <c r="K95" s="358"/>
      <c r="L95" s="356"/>
      <c r="M95" s="356"/>
      <c r="N95" s="356"/>
      <c r="O95" s="356"/>
      <c r="P95" s="356"/>
      <c r="Q95" s="356"/>
      <c r="R95" s="356"/>
      <c r="S95" s="358"/>
      <c r="T95" s="358"/>
      <c r="U95" s="358"/>
      <c r="V95" s="356"/>
      <c r="W95" s="358"/>
      <c r="X95" s="358"/>
      <c r="Y95" s="358"/>
      <c r="Z95" s="356"/>
      <c r="AA95" s="359" t="s">
        <v>148</v>
      </c>
      <c r="AB95" s="358" t="s">
        <v>508</v>
      </c>
    </row>
    <row r="96" spans="1:28" ht="16.2" customHeight="1" x14ac:dyDescent="0.25">
      <c r="A96" s="231"/>
      <c r="B96" s="251">
        <v>46033</v>
      </c>
      <c r="C96" s="146"/>
      <c r="D96" s="147"/>
      <c r="E96" s="148"/>
      <c r="F96" s="258">
        <v>45821</v>
      </c>
      <c r="G96" s="397" t="s">
        <v>243</v>
      </c>
      <c r="H96" s="361"/>
      <c r="I96" s="371"/>
      <c r="J96" s="352"/>
      <c r="K96" s="352" t="s">
        <v>81</v>
      </c>
      <c r="L96" s="361"/>
      <c r="M96" s="361"/>
      <c r="N96" s="361"/>
      <c r="O96" s="361"/>
      <c r="P96" s="361"/>
      <c r="Q96" s="361"/>
      <c r="R96" s="361"/>
      <c r="S96" s="352"/>
      <c r="T96" s="352">
        <v>80</v>
      </c>
      <c r="U96" s="352"/>
      <c r="V96" s="361"/>
      <c r="W96" s="352">
        <v>15</v>
      </c>
      <c r="X96" s="352"/>
      <c r="Y96" s="352" t="s">
        <v>207</v>
      </c>
      <c r="Z96" s="361"/>
      <c r="AA96" s="353" t="s">
        <v>147</v>
      </c>
      <c r="AB96" s="354" t="s">
        <v>509</v>
      </c>
    </row>
    <row r="97" spans="1:28" ht="16.2" customHeight="1" x14ac:dyDescent="0.25">
      <c r="A97" s="231"/>
      <c r="B97" s="251"/>
      <c r="C97" s="146"/>
      <c r="D97" s="147"/>
      <c r="E97" s="148"/>
      <c r="F97" s="252"/>
      <c r="G97" s="158"/>
      <c r="H97" s="253"/>
      <c r="I97" s="283"/>
      <c r="J97" s="231"/>
      <c r="K97" s="231"/>
      <c r="L97" s="253"/>
      <c r="M97" s="253"/>
      <c r="N97" s="253"/>
      <c r="O97" s="253"/>
      <c r="P97" s="253"/>
      <c r="Q97" s="253"/>
      <c r="R97" s="253"/>
      <c r="S97" s="231"/>
      <c r="T97" s="231"/>
      <c r="U97" s="231"/>
      <c r="V97" s="253"/>
      <c r="W97" s="231"/>
      <c r="X97" s="231"/>
      <c r="Y97" s="231"/>
      <c r="Z97" s="253"/>
      <c r="AA97" s="254"/>
      <c r="AB97" s="231"/>
    </row>
    <row r="98" spans="1:28" ht="16.2" customHeight="1" x14ac:dyDescent="0.25">
      <c r="A98" s="231">
        <v>7</v>
      </c>
      <c r="B98" s="251">
        <v>46040</v>
      </c>
      <c r="C98" s="146"/>
      <c r="D98" s="153"/>
      <c r="E98" s="145"/>
      <c r="F98" s="252"/>
      <c r="G98" s="303" t="s">
        <v>510</v>
      </c>
      <c r="H98" s="253"/>
      <c r="I98" s="283"/>
      <c r="J98" s="231"/>
      <c r="K98" s="231"/>
      <c r="L98" s="253"/>
      <c r="M98" s="253"/>
      <c r="N98" s="253"/>
      <c r="O98" s="253"/>
      <c r="P98" s="253"/>
      <c r="Q98" s="253"/>
      <c r="R98" s="253"/>
      <c r="S98" s="231"/>
      <c r="T98" s="231"/>
      <c r="U98" s="231"/>
      <c r="V98" s="253"/>
      <c r="W98" s="231"/>
      <c r="X98" s="231"/>
      <c r="Y98" s="231"/>
      <c r="Z98" s="231" t="s">
        <v>78</v>
      </c>
      <c r="AA98" s="254" t="s">
        <v>444</v>
      </c>
      <c r="AB98" s="231"/>
    </row>
    <row r="99" spans="1:28" ht="16.2" customHeight="1" x14ac:dyDescent="0.25">
      <c r="A99" s="231">
        <v>7</v>
      </c>
      <c r="B99" s="251">
        <v>46040</v>
      </c>
      <c r="C99" s="146"/>
      <c r="D99" s="153"/>
      <c r="E99" s="145"/>
      <c r="F99" s="252"/>
      <c r="G99" s="303" t="s">
        <v>511</v>
      </c>
      <c r="H99" s="253"/>
      <c r="I99" s="283"/>
      <c r="J99" s="231"/>
      <c r="K99" s="231"/>
      <c r="L99" s="253"/>
      <c r="M99" s="253"/>
      <c r="N99" s="253"/>
      <c r="O99" s="253"/>
      <c r="P99" s="253"/>
      <c r="Q99" s="253"/>
      <c r="R99" s="253"/>
      <c r="S99" s="231"/>
      <c r="T99" s="231"/>
      <c r="U99" s="231"/>
      <c r="V99" s="253"/>
      <c r="W99" s="231"/>
      <c r="X99" s="231"/>
      <c r="Y99" s="231"/>
      <c r="Z99" s="231" t="s">
        <v>78</v>
      </c>
      <c r="AA99" s="254" t="s">
        <v>444</v>
      </c>
      <c r="AB99" s="231"/>
    </row>
    <row r="100" spans="1:28" ht="16.2" customHeight="1" x14ac:dyDescent="0.25">
      <c r="A100" s="231">
        <v>7</v>
      </c>
      <c r="B100" s="251">
        <v>46040</v>
      </c>
      <c r="C100" s="146"/>
      <c r="D100" s="153"/>
      <c r="E100" s="145"/>
      <c r="F100" s="252"/>
      <c r="G100" s="303" t="s">
        <v>512</v>
      </c>
      <c r="H100" s="253"/>
      <c r="I100" s="283"/>
      <c r="J100" s="231"/>
      <c r="K100" s="231"/>
      <c r="L100" s="253"/>
      <c r="M100" s="253"/>
      <c r="N100" s="253"/>
      <c r="O100" s="253"/>
      <c r="P100" s="253"/>
      <c r="Q100" s="253"/>
      <c r="R100" s="253"/>
      <c r="S100" s="231"/>
      <c r="T100" s="231"/>
      <c r="U100" s="231"/>
      <c r="V100" s="253"/>
      <c r="W100" s="231"/>
      <c r="X100" s="231"/>
      <c r="Y100" s="231"/>
      <c r="Z100" s="231" t="s">
        <v>78</v>
      </c>
      <c r="AA100" s="254" t="s">
        <v>444</v>
      </c>
      <c r="AB100" s="231"/>
    </row>
    <row r="101" spans="1:28" ht="16.2" customHeight="1" x14ac:dyDescent="0.25">
      <c r="A101" s="231"/>
      <c r="B101" s="251"/>
      <c r="C101" s="146"/>
      <c r="D101" s="153"/>
      <c r="E101" s="145"/>
      <c r="F101" s="252"/>
      <c r="G101" s="158"/>
      <c r="H101" s="253"/>
      <c r="I101" s="283"/>
      <c r="J101" s="231"/>
      <c r="K101" s="231"/>
      <c r="L101" s="253"/>
      <c r="M101" s="253"/>
      <c r="N101" s="253"/>
      <c r="O101" s="253"/>
      <c r="P101" s="253"/>
      <c r="Q101" s="253"/>
      <c r="R101" s="253"/>
      <c r="S101" s="231"/>
      <c r="T101" s="231"/>
      <c r="U101" s="231"/>
      <c r="V101" s="253"/>
      <c r="W101" s="231"/>
      <c r="X101" s="231"/>
      <c r="Y101" s="231"/>
      <c r="Z101" s="253"/>
      <c r="AA101" s="254"/>
      <c r="AB101" s="231"/>
    </row>
    <row r="102" spans="1:28" ht="16.2" customHeight="1" x14ac:dyDescent="0.25">
      <c r="A102" s="231"/>
      <c r="B102" s="251">
        <v>46046</v>
      </c>
      <c r="C102" s="146"/>
      <c r="D102" s="153"/>
      <c r="E102" s="145"/>
      <c r="F102" s="258">
        <v>45847</v>
      </c>
      <c r="G102" s="296" t="s">
        <v>513</v>
      </c>
      <c r="H102" s="253"/>
      <c r="I102" s="283"/>
      <c r="J102" s="231"/>
      <c r="K102" s="231"/>
      <c r="L102" s="253"/>
      <c r="M102" s="253"/>
      <c r="N102" s="253"/>
      <c r="O102" s="253"/>
      <c r="P102" s="253"/>
      <c r="Q102" s="253"/>
      <c r="R102" s="253"/>
      <c r="S102" s="231"/>
      <c r="T102" s="231"/>
      <c r="U102" s="231"/>
      <c r="V102" s="253"/>
      <c r="W102" s="231"/>
      <c r="X102" s="231"/>
      <c r="Y102" s="231"/>
      <c r="Z102" s="253"/>
      <c r="AA102" s="254"/>
      <c r="AB102" s="231"/>
    </row>
    <row r="103" spans="1:28" ht="16.2" customHeight="1" x14ac:dyDescent="0.25">
      <c r="A103" s="231"/>
      <c r="B103" s="251">
        <v>46047</v>
      </c>
      <c r="C103" s="146"/>
      <c r="D103" s="153"/>
      <c r="E103" s="145"/>
      <c r="F103" s="258">
        <v>45847</v>
      </c>
      <c r="G103" s="296" t="s">
        <v>514</v>
      </c>
      <c r="H103" s="253"/>
      <c r="I103" s="283"/>
      <c r="J103" s="231"/>
      <c r="K103" s="231"/>
      <c r="L103" s="253"/>
      <c r="M103" s="253"/>
      <c r="N103" s="253"/>
      <c r="O103" s="253"/>
      <c r="P103" s="253"/>
      <c r="Q103" s="253"/>
      <c r="R103" s="253"/>
      <c r="S103" s="231"/>
      <c r="T103" s="231"/>
      <c r="U103" s="231"/>
      <c r="V103" s="253"/>
      <c r="W103" s="231"/>
      <c r="X103" s="231"/>
      <c r="Y103" s="231"/>
      <c r="Z103" s="253"/>
      <c r="AA103" s="254"/>
      <c r="AB103" s="231"/>
    </row>
    <row r="104" spans="1:28" ht="16.2" customHeight="1" x14ac:dyDescent="0.25">
      <c r="A104" s="231">
        <v>7</v>
      </c>
      <c r="B104" s="251">
        <v>46047</v>
      </c>
      <c r="C104" s="146"/>
      <c r="D104" s="153"/>
      <c r="E104" s="142"/>
      <c r="F104" s="252"/>
      <c r="G104" s="298" t="s">
        <v>515</v>
      </c>
      <c r="H104" s="253"/>
      <c r="I104" s="283"/>
      <c r="J104" s="231"/>
      <c r="K104" s="231"/>
      <c r="L104" s="253"/>
      <c r="M104" s="253"/>
      <c r="N104" s="253"/>
      <c r="O104" s="253"/>
      <c r="P104" s="253"/>
      <c r="Q104" s="253"/>
      <c r="R104" s="253"/>
      <c r="S104" s="231"/>
      <c r="T104" s="231"/>
      <c r="U104" s="231"/>
      <c r="V104" s="253"/>
      <c r="W104" s="231"/>
      <c r="X104" s="231"/>
      <c r="Y104" s="231"/>
      <c r="Z104" s="231" t="s">
        <v>78</v>
      </c>
      <c r="AA104" s="254" t="s">
        <v>444</v>
      </c>
      <c r="AB104" s="231"/>
    </row>
    <row r="105" spans="1:28" ht="16.2" customHeight="1" x14ac:dyDescent="0.25">
      <c r="A105" s="231">
        <v>7</v>
      </c>
      <c r="B105" s="251">
        <v>46047</v>
      </c>
      <c r="C105" s="146"/>
      <c r="D105" s="153"/>
      <c r="E105" s="142"/>
      <c r="F105" s="252"/>
      <c r="G105" s="355" t="s">
        <v>84</v>
      </c>
      <c r="H105" s="356"/>
      <c r="I105" s="373"/>
      <c r="J105" s="358"/>
      <c r="K105" s="358">
        <v>2</v>
      </c>
      <c r="L105" s="356" t="s">
        <v>505</v>
      </c>
      <c r="M105" s="356"/>
      <c r="N105" s="356"/>
      <c r="O105" s="356"/>
      <c r="P105" s="356"/>
      <c r="Q105" s="356"/>
      <c r="R105" s="356" t="s">
        <v>78</v>
      </c>
      <c r="S105" s="358"/>
      <c r="T105" s="358"/>
      <c r="U105" s="358"/>
      <c r="V105" s="356"/>
      <c r="W105" s="358">
        <v>8</v>
      </c>
      <c r="X105" s="358"/>
      <c r="Y105" s="358" t="s">
        <v>210</v>
      </c>
      <c r="Z105" s="358"/>
      <c r="AA105" s="359" t="s">
        <v>150</v>
      </c>
      <c r="AB105" s="360" t="s">
        <v>493</v>
      </c>
    </row>
    <row r="106" spans="1:28" ht="16.2" customHeight="1" x14ac:dyDescent="0.25">
      <c r="A106" s="231"/>
      <c r="B106" s="251">
        <v>46047</v>
      </c>
      <c r="C106" s="146"/>
      <c r="D106" s="153"/>
      <c r="E106" s="142"/>
      <c r="F106" s="258">
        <v>45810</v>
      </c>
      <c r="G106" s="260" t="s">
        <v>96</v>
      </c>
      <c r="H106" s="361"/>
      <c r="I106" s="371"/>
      <c r="J106" s="352"/>
      <c r="K106" s="352">
        <v>2</v>
      </c>
      <c r="L106" s="361"/>
      <c r="M106" s="361"/>
      <c r="N106" s="361"/>
      <c r="O106" s="361"/>
      <c r="P106" s="361"/>
      <c r="Q106" s="361"/>
      <c r="R106" s="361"/>
      <c r="S106" s="352"/>
      <c r="T106" s="352">
        <v>70</v>
      </c>
      <c r="U106" s="352"/>
      <c r="V106" s="361"/>
      <c r="W106" s="352">
        <v>6</v>
      </c>
      <c r="X106" s="352"/>
      <c r="Y106" s="352"/>
      <c r="Z106" s="352"/>
      <c r="AA106" s="353" t="s">
        <v>445</v>
      </c>
      <c r="AB106" s="354" t="s">
        <v>446</v>
      </c>
    </row>
    <row r="107" spans="1:28" ht="16.2" customHeight="1" x14ac:dyDescent="0.25">
      <c r="A107" s="231"/>
      <c r="B107" s="251">
        <v>46047</v>
      </c>
      <c r="C107" s="146"/>
      <c r="D107" s="153"/>
      <c r="E107" s="142"/>
      <c r="F107" s="258">
        <v>45818</v>
      </c>
      <c r="G107" s="260" t="s">
        <v>212</v>
      </c>
      <c r="H107" s="361"/>
      <c r="I107" s="371"/>
      <c r="J107" s="352"/>
      <c r="K107" s="352">
        <v>4</v>
      </c>
      <c r="L107" s="361"/>
      <c r="M107" s="361"/>
      <c r="N107" s="361"/>
      <c r="O107" s="361"/>
      <c r="P107" s="361"/>
      <c r="Q107" s="361"/>
      <c r="R107" s="361"/>
      <c r="S107" s="352"/>
      <c r="T107" s="352">
        <v>60</v>
      </c>
      <c r="U107" s="352"/>
      <c r="V107" s="361"/>
      <c r="W107" s="352">
        <v>18</v>
      </c>
      <c r="X107" s="352"/>
      <c r="Y107" s="352"/>
      <c r="Z107" s="352"/>
      <c r="AA107" s="353" t="s">
        <v>152</v>
      </c>
      <c r="AB107" s="354" t="s">
        <v>516</v>
      </c>
    </row>
    <row r="108" spans="1:28" ht="16.2" customHeight="1" x14ac:dyDescent="0.25">
      <c r="A108" s="231"/>
      <c r="B108" s="251">
        <v>46047</v>
      </c>
      <c r="C108" s="146"/>
      <c r="D108" s="153"/>
      <c r="E108" s="142"/>
      <c r="F108" s="258">
        <v>45819</v>
      </c>
      <c r="G108" s="260" t="s">
        <v>517</v>
      </c>
      <c r="H108" s="361"/>
      <c r="I108" s="371"/>
      <c r="J108" s="352" t="s">
        <v>78</v>
      </c>
      <c r="K108" s="352" t="s">
        <v>81</v>
      </c>
      <c r="L108" s="361"/>
      <c r="M108" s="361"/>
      <c r="N108" s="361"/>
      <c r="O108" s="361"/>
      <c r="P108" s="361"/>
      <c r="Q108" s="361"/>
      <c r="R108" s="361"/>
      <c r="S108" s="352"/>
      <c r="T108" s="352">
        <v>70</v>
      </c>
      <c r="U108" s="352"/>
      <c r="V108" s="361"/>
      <c r="W108" s="352"/>
      <c r="X108" s="352"/>
      <c r="Y108" s="352" t="s">
        <v>207</v>
      </c>
      <c r="Z108" s="352"/>
      <c r="AA108" s="353" t="s">
        <v>151</v>
      </c>
      <c r="AB108" s="354" t="s">
        <v>518</v>
      </c>
    </row>
    <row r="109" spans="1:28" ht="16.2" customHeight="1" x14ac:dyDescent="0.25">
      <c r="A109" s="231"/>
      <c r="B109" s="251">
        <v>46047</v>
      </c>
      <c r="C109" s="146"/>
      <c r="D109" s="153"/>
      <c r="E109" s="142"/>
      <c r="F109" s="258">
        <v>45824</v>
      </c>
      <c r="G109" s="260" t="s">
        <v>519</v>
      </c>
      <c r="H109" s="361"/>
      <c r="I109" s="371"/>
      <c r="J109" s="352"/>
      <c r="K109" s="352">
        <v>2</v>
      </c>
      <c r="L109" s="361"/>
      <c r="M109" s="361"/>
      <c r="N109" s="361"/>
      <c r="O109" s="361"/>
      <c r="P109" s="361"/>
      <c r="Q109" s="361"/>
      <c r="R109" s="361"/>
      <c r="S109" s="352"/>
      <c r="T109" s="352">
        <v>70</v>
      </c>
      <c r="U109" s="352"/>
      <c r="V109" s="361"/>
      <c r="W109" s="352">
        <v>8</v>
      </c>
      <c r="X109" s="352"/>
      <c r="Y109" s="352" t="s">
        <v>210</v>
      </c>
      <c r="Z109" s="352"/>
      <c r="AA109" s="353" t="s">
        <v>145</v>
      </c>
      <c r="AB109" s="354" t="s">
        <v>452</v>
      </c>
    </row>
    <row r="110" spans="1:28" ht="16.2" customHeight="1" x14ac:dyDescent="0.25">
      <c r="A110" s="231"/>
      <c r="B110" s="251">
        <v>46047</v>
      </c>
      <c r="C110" s="146"/>
      <c r="D110" s="153"/>
      <c r="E110" s="142"/>
      <c r="F110" s="258">
        <v>45824</v>
      </c>
      <c r="G110" s="260" t="s">
        <v>462</v>
      </c>
      <c r="H110" s="361"/>
      <c r="I110" s="371"/>
      <c r="J110" s="352"/>
      <c r="K110" s="352">
        <v>1</v>
      </c>
      <c r="L110" s="361"/>
      <c r="M110" s="361"/>
      <c r="N110" s="361"/>
      <c r="O110" s="361"/>
      <c r="P110" s="361"/>
      <c r="Q110" s="361"/>
      <c r="R110" s="361"/>
      <c r="S110" s="352"/>
      <c r="T110" s="352">
        <v>70</v>
      </c>
      <c r="U110" s="352"/>
      <c r="V110" s="361" t="s">
        <v>171</v>
      </c>
      <c r="W110" s="352">
        <v>12</v>
      </c>
      <c r="X110" s="352"/>
      <c r="Y110" s="352" t="s">
        <v>207</v>
      </c>
      <c r="Z110" s="352"/>
      <c r="AA110" s="353" t="s">
        <v>145</v>
      </c>
      <c r="AB110" s="354" t="s">
        <v>463</v>
      </c>
    </row>
    <row r="111" spans="1:28" ht="16.2" customHeight="1" x14ac:dyDescent="0.25">
      <c r="A111" s="231"/>
      <c r="B111" s="251"/>
      <c r="C111" s="140"/>
      <c r="D111" s="141"/>
      <c r="E111" s="145"/>
      <c r="F111" s="252"/>
      <c r="G111" s="158"/>
      <c r="H111" s="253"/>
      <c r="I111" s="283"/>
      <c r="J111" s="231"/>
      <c r="K111" s="231"/>
      <c r="L111" s="253"/>
      <c r="M111" s="253"/>
      <c r="N111" s="253"/>
      <c r="O111" s="253"/>
      <c r="P111" s="253"/>
      <c r="Q111" s="253"/>
      <c r="R111" s="253"/>
      <c r="S111" s="231"/>
      <c r="T111" s="231"/>
      <c r="U111" s="231"/>
      <c r="V111" s="253"/>
      <c r="W111" s="231"/>
      <c r="X111" s="231"/>
      <c r="Y111" s="231"/>
      <c r="Z111" s="253"/>
      <c r="AA111" s="254"/>
      <c r="AB111" s="231"/>
    </row>
    <row r="112" spans="1:28" ht="33.75" customHeight="1" x14ac:dyDescent="0.25">
      <c r="A112" s="255"/>
      <c r="B112" s="256"/>
      <c r="C112" s="413" t="s">
        <v>520</v>
      </c>
      <c r="D112" s="424"/>
      <c r="E112" s="424"/>
      <c r="F112" s="424"/>
      <c r="G112" s="424"/>
      <c r="H112" s="424"/>
      <c r="I112" s="424"/>
      <c r="J112" s="424"/>
      <c r="K112" s="424"/>
      <c r="L112" s="424"/>
      <c r="M112" s="424"/>
      <c r="N112" s="424"/>
      <c r="O112" s="424"/>
      <c r="P112" s="424"/>
      <c r="Q112" s="424"/>
      <c r="R112" s="424"/>
      <c r="S112" s="424"/>
      <c r="T112" s="424"/>
      <c r="U112" s="424"/>
      <c r="V112" s="424"/>
      <c r="W112" s="424"/>
      <c r="X112" s="424"/>
      <c r="Y112" s="424"/>
      <c r="Z112" s="424"/>
      <c r="AA112" s="425"/>
      <c r="AB112" s="255"/>
    </row>
    <row r="113" spans="1:28" ht="16.2" customHeight="1" x14ac:dyDescent="0.25">
      <c r="A113" s="231"/>
      <c r="B113" s="251"/>
      <c r="C113" s="140"/>
      <c r="D113" s="141"/>
      <c r="E113" s="145"/>
      <c r="F113" s="252"/>
      <c r="G113" s="158"/>
      <c r="H113" s="253"/>
      <c r="I113" s="283"/>
      <c r="J113" s="231"/>
      <c r="K113" s="231"/>
      <c r="L113" s="253"/>
      <c r="M113" s="253"/>
      <c r="N113" s="253"/>
      <c r="O113" s="253"/>
      <c r="P113" s="253"/>
      <c r="Q113" s="253"/>
      <c r="R113" s="253"/>
      <c r="S113" s="231"/>
      <c r="T113" s="231"/>
      <c r="U113" s="231"/>
      <c r="V113" s="253"/>
      <c r="W113" s="231"/>
      <c r="X113" s="231"/>
      <c r="Y113" s="231"/>
      <c r="Z113" s="253"/>
      <c r="AA113" s="254"/>
      <c r="AB113" s="231"/>
    </row>
    <row r="114" spans="1:28" ht="16.2" customHeight="1" x14ac:dyDescent="0.25">
      <c r="A114" s="231">
        <v>7</v>
      </c>
      <c r="B114" s="251">
        <v>46054</v>
      </c>
      <c r="C114" s="146"/>
      <c r="D114" s="141"/>
      <c r="E114" s="145"/>
      <c r="F114" s="252"/>
      <c r="G114" s="284" t="s">
        <v>521</v>
      </c>
      <c r="H114" s="253"/>
      <c r="I114" s="283" t="s">
        <v>522</v>
      </c>
      <c r="J114" s="231"/>
      <c r="K114" s="231"/>
      <c r="L114" s="253"/>
      <c r="M114" s="253"/>
      <c r="N114" s="253"/>
      <c r="O114" s="253"/>
      <c r="P114" s="253"/>
      <c r="Q114" s="253"/>
      <c r="R114" s="253"/>
      <c r="S114" s="231"/>
      <c r="T114" s="231"/>
      <c r="U114" s="231"/>
      <c r="V114" s="253"/>
      <c r="W114" s="231"/>
      <c r="X114" s="231"/>
      <c r="Y114" s="231"/>
      <c r="Z114" s="231" t="s">
        <v>78</v>
      </c>
      <c r="AA114" s="254" t="s">
        <v>444</v>
      </c>
      <c r="AB114" s="231"/>
    </row>
    <row r="115" spans="1:28" ht="16.2" customHeight="1" x14ac:dyDescent="0.25">
      <c r="A115" s="231">
        <v>7</v>
      </c>
      <c r="B115" s="251">
        <v>46054</v>
      </c>
      <c r="C115" s="146"/>
      <c r="D115" s="141"/>
      <c r="E115" s="145"/>
      <c r="F115" s="252"/>
      <c r="G115" s="372" t="s">
        <v>523</v>
      </c>
      <c r="H115" s="356"/>
      <c r="I115" s="373"/>
      <c r="J115" s="358"/>
      <c r="K115" s="358">
        <v>1</v>
      </c>
      <c r="L115" s="356"/>
      <c r="M115" s="356"/>
      <c r="N115" s="356" t="s">
        <v>78</v>
      </c>
      <c r="O115" s="356"/>
      <c r="P115" s="356" t="s">
        <v>78</v>
      </c>
      <c r="Q115" s="356"/>
      <c r="R115" s="356"/>
      <c r="S115" s="358"/>
      <c r="T115" s="358"/>
      <c r="U115" s="358"/>
      <c r="V115" s="356" t="s">
        <v>171</v>
      </c>
      <c r="W115" s="358">
        <v>8</v>
      </c>
      <c r="X115" s="358"/>
      <c r="Y115" s="358" t="s">
        <v>210</v>
      </c>
      <c r="Z115" s="356"/>
      <c r="AA115" s="359" t="s">
        <v>150</v>
      </c>
      <c r="AB115" s="360" t="s">
        <v>307</v>
      </c>
    </row>
    <row r="116" spans="1:28" ht="16.2" customHeight="1" x14ac:dyDescent="0.25">
      <c r="C116" s="146" t="s">
        <v>80</v>
      </c>
      <c r="D116" s="153"/>
      <c r="E116" s="154"/>
      <c r="F116" s="252"/>
      <c r="G116" s="158"/>
      <c r="H116" s="253"/>
      <c r="I116" s="283"/>
      <c r="J116" s="231"/>
      <c r="K116" s="231"/>
      <c r="L116" s="253"/>
      <c r="M116" s="253"/>
      <c r="N116" s="253"/>
      <c r="O116" s="253"/>
      <c r="P116" s="253"/>
      <c r="Q116" s="253"/>
      <c r="R116" s="253"/>
      <c r="S116" s="231"/>
      <c r="T116" s="231"/>
      <c r="U116" s="231"/>
      <c r="V116" s="253"/>
      <c r="W116" s="231"/>
      <c r="X116" s="231"/>
      <c r="Y116" s="231"/>
      <c r="Z116" s="253"/>
      <c r="AA116" s="254"/>
      <c r="AB116" s="231"/>
    </row>
    <row r="117" spans="1:28" ht="16.2" customHeight="1" x14ac:dyDescent="0.25">
      <c r="A117" s="231">
        <v>7</v>
      </c>
      <c r="B117" s="251">
        <v>46061</v>
      </c>
      <c r="C117" s="146" t="s">
        <v>80</v>
      </c>
      <c r="D117" s="153"/>
      <c r="E117" s="154"/>
      <c r="F117" s="252"/>
      <c r="G117" s="372" t="s">
        <v>85</v>
      </c>
      <c r="H117" s="356"/>
      <c r="I117" s="373"/>
      <c r="J117" s="358"/>
      <c r="K117" s="358">
        <v>2</v>
      </c>
      <c r="L117" s="356" t="s">
        <v>505</v>
      </c>
      <c r="M117" s="356"/>
      <c r="N117" s="356"/>
      <c r="O117" s="356"/>
      <c r="P117" s="356"/>
      <c r="Q117" s="356"/>
      <c r="R117" s="356" t="s">
        <v>78</v>
      </c>
      <c r="S117" s="358"/>
      <c r="T117" s="358"/>
      <c r="U117" s="358"/>
      <c r="V117" s="356"/>
      <c r="W117" s="358">
        <v>9</v>
      </c>
      <c r="X117" s="358"/>
      <c r="Y117" s="358" t="s">
        <v>210</v>
      </c>
      <c r="Z117" s="356"/>
      <c r="AA117" s="359" t="s">
        <v>148</v>
      </c>
      <c r="AB117" s="360" t="s">
        <v>482</v>
      </c>
    </row>
    <row r="118" spans="1:28" ht="16.2" customHeight="1" x14ac:dyDescent="0.25">
      <c r="A118" s="231"/>
      <c r="B118" s="251">
        <v>46061</v>
      </c>
      <c r="C118" s="146"/>
      <c r="D118" s="153"/>
      <c r="E118" s="148"/>
      <c r="F118" s="258">
        <v>45800</v>
      </c>
      <c r="G118" s="298" t="s">
        <v>524</v>
      </c>
      <c r="H118" s="253"/>
      <c r="I118" s="283"/>
      <c r="J118" s="231"/>
      <c r="K118" s="231"/>
      <c r="L118" s="253"/>
      <c r="M118" s="253"/>
      <c r="N118" s="253"/>
      <c r="O118" s="253"/>
      <c r="P118" s="253"/>
      <c r="Q118" s="253"/>
      <c r="R118" s="253"/>
      <c r="S118" s="231"/>
      <c r="T118" s="231"/>
      <c r="U118" s="231"/>
      <c r="V118" s="253"/>
      <c r="W118" s="231"/>
      <c r="X118" s="231"/>
      <c r="Y118" s="231"/>
      <c r="Z118" s="231" t="s">
        <v>78</v>
      </c>
      <c r="AA118" s="254" t="s">
        <v>444</v>
      </c>
      <c r="AB118" s="231"/>
    </row>
    <row r="119" spans="1:28" ht="16.2" customHeight="1" x14ac:dyDescent="0.25">
      <c r="A119" s="231"/>
      <c r="B119" s="251">
        <v>46061</v>
      </c>
      <c r="C119" s="146"/>
      <c r="D119" s="153"/>
      <c r="E119" s="148"/>
      <c r="F119" s="258">
        <v>45824</v>
      </c>
      <c r="G119" s="260" t="s">
        <v>308</v>
      </c>
      <c r="H119" s="361"/>
      <c r="I119" s="371"/>
      <c r="J119" s="352"/>
      <c r="K119" s="352">
        <v>5</v>
      </c>
      <c r="L119" s="361"/>
      <c r="M119" s="361"/>
      <c r="N119" s="361"/>
      <c r="O119" s="361"/>
      <c r="P119" s="361"/>
      <c r="Q119" s="361"/>
      <c r="R119" s="361"/>
      <c r="S119" s="352"/>
      <c r="T119" s="352">
        <v>70</v>
      </c>
      <c r="U119" s="352"/>
      <c r="V119" s="361"/>
      <c r="W119" s="352">
        <v>13</v>
      </c>
      <c r="X119" s="352"/>
      <c r="Y119" s="352" t="s">
        <v>207</v>
      </c>
      <c r="Z119" s="352"/>
      <c r="AA119" s="353" t="s">
        <v>150</v>
      </c>
      <c r="AB119" s="354" t="s">
        <v>525</v>
      </c>
    </row>
    <row r="120" spans="1:28" ht="16.2" customHeight="1" x14ac:dyDescent="0.25">
      <c r="A120" s="231">
        <v>7</v>
      </c>
      <c r="B120" s="251">
        <v>46068</v>
      </c>
      <c r="C120" s="146" t="s">
        <v>80</v>
      </c>
      <c r="D120" s="153" t="s">
        <v>80</v>
      </c>
      <c r="E120" s="154"/>
      <c r="F120" s="252"/>
      <c r="G120" s="158"/>
      <c r="H120" s="253"/>
      <c r="I120" s="283"/>
      <c r="J120" s="231"/>
      <c r="K120" s="231"/>
      <c r="L120" s="253"/>
      <c r="M120" s="253"/>
      <c r="N120" s="253"/>
      <c r="O120" s="253"/>
      <c r="P120" s="253"/>
      <c r="Q120" s="253"/>
      <c r="R120" s="253"/>
      <c r="S120" s="231"/>
      <c r="T120" s="231"/>
      <c r="U120" s="231"/>
      <c r="V120" s="253"/>
      <c r="W120" s="231"/>
      <c r="X120" s="231"/>
      <c r="Y120" s="231"/>
      <c r="Z120" s="253"/>
      <c r="AA120" s="254"/>
      <c r="AB120" s="231"/>
    </row>
    <row r="121" spans="1:28" ht="16.2" customHeight="1" x14ac:dyDescent="0.25">
      <c r="A121" s="231">
        <v>7</v>
      </c>
      <c r="B121" s="251">
        <v>46068</v>
      </c>
      <c r="C121" s="146" t="s">
        <v>80</v>
      </c>
      <c r="D121" s="153" t="s">
        <v>80</v>
      </c>
      <c r="E121" s="154"/>
      <c r="F121" s="252"/>
      <c r="G121" s="372" t="s">
        <v>104</v>
      </c>
      <c r="H121" s="356"/>
      <c r="I121" s="373"/>
      <c r="J121" s="358"/>
      <c r="K121" s="358" t="s">
        <v>87</v>
      </c>
      <c r="L121" s="356"/>
      <c r="M121" s="356"/>
      <c r="N121" s="356"/>
      <c r="O121" s="356"/>
      <c r="P121" s="356"/>
      <c r="Q121" s="356" t="s">
        <v>78</v>
      </c>
      <c r="R121" s="356"/>
      <c r="S121" s="358"/>
      <c r="T121" s="358">
        <v>70</v>
      </c>
      <c r="U121" s="358"/>
      <c r="V121" s="356"/>
      <c r="W121" s="358">
        <v>8</v>
      </c>
      <c r="X121" s="358"/>
      <c r="Y121" s="358" t="s">
        <v>210</v>
      </c>
      <c r="Z121" s="356"/>
      <c r="AA121" s="359" t="s">
        <v>149</v>
      </c>
      <c r="AB121" s="360" t="s">
        <v>526</v>
      </c>
    </row>
    <row r="122" spans="1:28" ht="16.2" customHeight="1" x14ac:dyDescent="0.25">
      <c r="A122" s="231"/>
      <c r="B122" s="251">
        <v>46068</v>
      </c>
      <c r="C122" s="146" t="s">
        <v>80</v>
      </c>
      <c r="D122" s="153" t="s">
        <v>80</v>
      </c>
      <c r="E122" s="154"/>
      <c r="F122" s="258">
        <v>45820</v>
      </c>
      <c r="G122" s="350" t="s">
        <v>86</v>
      </c>
      <c r="H122" s="361"/>
      <c r="I122" s="371"/>
      <c r="J122" s="352" t="s">
        <v>78</v>
      </c>
      <c r="K122" s="352">
        <v>2</v>
      </c>
      <c r="L122" s="361"/>
      <c r="M122" s="361"/>
      <c r="N122" s="361"/>
      <c r="O122" s="361"/>
      <c r="P122" s="361"/>
      <c r="Q122" s="361"/>
      <c r="R122" s="361"/>
      <c r="S122" s="352"/>
      <c r="T122" s="352">
        <v>70</v>
      </c>
      <c r="U122" s="352"/>
      <c r="V122" s="361"/>
      <c r="W122" s="352"/>
      <c r="X122" s="352"/>
      <c r="Y122" s="352" t="s">
        <v>207</v>
      </c>
      <c r="Z122" s="361"/>
      <c r="AA122" s="353" t="s">
        <v>148</v>
      </c>
      <c r="AB122" s="354" t="s">
        <v>245</v>
      </c>
    </row>
    <row r="123" spans="1:28" ht="16.2" customHeight="1" x14ac:dyDescent="0.25">
      <c r="A123" s="231"/>
      <c r="B123" s="251">
        <v>46068</v>
      </c>
      <c r="C123" s="146" t="s">
        <v>80</v>
      </c>
      <c r="D123" s="153" t="s">
        <v>80</v>
      </c>
      <c r="E123" s="154"/>
      <c r="F123" s="258">
        <v>45824</v>
      </c>
      <c r="G123" s="350" t="s">
        <v>523</v>
      </c>
      <c r="H123" s="361"/>
      <c r="I123" s="371"/>
      <c r="J123" s="352"/>
      <c r="K123" s="352">
        <v>5</v>
      </c>
      <c r="L123" s="361"/>
      <c r="M123" s="361"/>
      <c r="N123" s="361"/>
      <c r="O123" s="361"/>
      <c r="P123" s="361"/>
      <c r="Q123" s="361"/>
      <c r="R123" s="361"/>
      <c r="S123" s="352"/>
      <c r="T123" s="352">
        <v>60</v>
      </c>
      <c r="U123" s="352"/>
      <c r="V123" s="361"/>
      <c r="W123" s="352">
        <v>13</v>
      </c>
      <c r="X123" s="352"/>
      <c r="Y123" s="352" t="s">
        <v>207</v>
      </c>
      <c r="Z123" s="361"/>
      <c r="AA123" s="353" t="s">
        <v>150</v>
      </c>
      <c r="AB123" s="354" t="s">
        <v>307</v>
      </c>
    </row>
    <row r="124" spans="1:28" ht="16.2" customHeight="1" x14ac:dyDescent="0.25">
      <c r="A124" s="231">
        <v>7</v>
      </c>
      <c r="B124" s="251">
        <v>46075</v>
      </c>
      <c r="C124" s="146" t="s">
        <v>80</v>
      </c>
      <c r="D124" s="153" t="s">
        <v>80</v>
      </c>
      <c r="E124" s="148" t="s">
        <v>80</v>
      </c>
      <c r="F124" s="252"/>
      <c r="G124" s="158"/>
      <c r="H124" s="253"/>
      <c r="I124" s="283"/>
      <c r="J124" s="231"/>
      <c r="K124" s="231"/>
      <c r="L124" s="253"/>
      <c r="M124" s="253"/>
      <c r="N124" s="253"/>
      <c r="O124" s="253"/>
      <c r="P124" s="253"/>
      <c r="Q124" s="253"/>
      <c r="R124" s="253"/>
      <c r="S124" s="231"/>
      <c r="T124" s="231"/>
      <c r="U124" s="231"/>
      <c r="V124" s="253"/>
      <c r="W124" s="231"/>
      <c r="X124" s="231"/>
      <c r="Y124" s="231"/>
      <c r="Z124" s="253"/>
      <c r="AA124" s="254"/>
      <c r="AB124" s="231"/>
    </row>
    <row r="125" spans="1:28" ht="16.2" customHeight="1" x14ac:dyDescent="0.25">
      <c r="A125" s="231"/>
      <c r="B125" s="251"/>
      <c r="C125" s="146"/>
      <c r="D125" s="153" t="s">
        <v>80</v>
      </c>
      <c r="E125" s="148" t="s">
        <v>80</v>
      </c>
      <c r="F125" s="252"/>
      <c r="G125" s="158"/>
      <c r="H125" s="253"/>
      <c r="I125" s="283"/>
      <c r="J125" s="231"/>
      <c r="K125" s="231"/>
      <c r="L125" s="253"/>
      <c r="M125" s="253"/>
      <c r="N125" s="253"/>
      <c r="O125" s="253"/>
      <c r="P125" s="253"/>
      <c r="Q125" s="253"/>
      <c r="R125" s="253"/>
      <c r="S125" s="231"/>
      <c r="T125" s="231"/>
      <c r="U125" s="231"/>
      <c r="V125" s="253"/>
      <c r="W125" s="231"/>
      <c r="X125" s="231"/>
      <c r="Y125" s="231"/>
      <c r="Z125" s="253"/>
      <c r="AA125" s="254"/>
      <c r="AB125" s="231"/>
    </row>
    <row r="126" spans="1:28" ht="32.25" customHeight="1" x14ac:dyDescent="0.25">
      <c r="A126" s="255"/>
      <c r="B126" s="256"/>
      <c r="C126" s="413" t="s">
        <v>527</v>
      </c>
      <c r="D126" s="426"/>
      <c r="E126" s="426"/>
      <c r="F126" s="426"/>
      <c r="G126" s="426"/>
      <c r="H126" s="426"/>
      <c r="I126" s="426"/>
      <c r="J126" s="426"/>
      <c r="K126" s="426"/>
      <c r="L126" s="426"/>
      <c r="M126" s="426"/>
      <c r="N126" s="426"/>
      <c r="O126" s="426"/>
      <c r="P126" s="426"/>
      <c r="Q126" s="426"/>
      <c r="R126" s="426"/>
      <c r="S126" s="426"/>
      <c r="T126" s="426"/>
      <c r="U126" s="426"/>
      <c r="V126" s="426"/>
      <c r="W126" s="426"/>
      <c r="X126" s="426"/>
      <c r="Y126" s="426"/>
      <c r="Z126" s="426"/>
      <c r="AA126" s="427"/>
      <c r="AB126" s="255"/>
    </row>
    <row r="127" spans="1:28" ht="16.2" customHeight="1" x14ac:dyDescent="0.25">
      <c r="A127" s="231"/>
      <c r="B127" s="251"/>
      <c r="C127" s="146"/>
      <c r="D127" s="153" t="s">
        <v>80</v>
      </c>
      <c r="E127" s="148" t="s">
        <v>80</v>
      </c>
      <c r="F127" s="252"/>
      <c r="G127" s="158"/>
      <c r="H127" s="253"/>
      <c r="I127" s="283"/>
      <c r="J127" s="231"/>
      <c r="K127" s="231"/>
      <c r="L127" s="253"/>
      <c r="M127" s="253"/>
      <c r="N127" s="253"/>
      <c r="O127" s="253"/>
      <c r="P127" s="253"/>
      <c r="Q127" s="253"/>
      <c r="R127" s="253"/>
      <c r="S127" s="231"/>
      <c r="T127" s="231"/>
      <c r="U127" s="231"/>
      <c r="V127" s="253"/>
      <c r="W127" s="231"/>
      <c r="X127" s="231"/>
      <c r="Y127" s="231"/>
      <c r="Z127" s="253"/>
      <c r="AA127" s="254"/>
      <c r="AB127" s="231"/>
    </row>
    <row r="128" spans="1:28" ht="16.2" customHeight="1" x14ac:dyDescent="0.25">
      <c r="A128" s="231"/>
      <c r="B128" s="251">
        <v>46082</v>
      </c>
      <c r="C128" s="146"/>
      <c r="D128" s="153"/>
      <c r="E128" s="148" t="s">
        <v>80</v>
      </c>
      <c r="F128" s="258">
        <v>45819</v>
      </c>
      <c r="G128" s="350" t="s">
        <v>517</v>
      </c>
      <c r="H128" s="361"/>
      <c r="I128" s="371"/>
      <c r="J128" s="352"/>
      <c r="K128" s="352">
        <v>2</v>
      </c>
      <c r="L128" s="361"/>
      <c r="M128" s="361"/>
      <c r="N128" s="361"/>
      <c r="O128" s="361"/>
      <c r="P128" s="361"/>
      <c r="Q128" s="361"/>
      <c r="R128" s="361"/>
      <c r="S128" s="352"/>
      <c r="T128" s="352">
        <v>70</v>
      </c>
      <c r="U128" s="352"/>
      <c r="V128" s="361"/>
      <c r="W128" s="352"/>
      <c r="X128" s="352"/>
      <c r="Y128" s="352" t="s">
        <v>210</v>
      </c>
      <c r="Z128" s="361"/>
      <c r="AA128" s="353" t="s">
        <v>151</v>
      </c>
      <c r="AB128" s="354" t="s">
        <v>518</v>
      </c>
    </row>
    <row r="129" spans="1:28" ht="16.2" customHeight="1" x14ac:dyDescent="0.25">
      <c r="A129" s="231"/>
      <c r="B129" s="251">
        <v>46082</v>
      </c>
      <c r="C129" s="146"/>
      <c r="D129" s="153"/>
      <c r="E129" s="148" t="s">
        <v>80</v>
      </c>
      <c r="F129" s="258">
        <v>45821</v>
      </c>
      <c r="G129" s="350" t="s">
        <v>447</v>
      </c>
      <c r="H129" s="361"/>
      <c r="I129" s="371"/>
      <c r="J129" s="352" t="s">
        <v>78</v>
      </c>
      <c r="K129" s="352">
        <v>3</v>
      </c>
      <c r="L129" s="361"/>
      <c r="M129" s="361"/>
      <c r="N129" s="361"/>
      <c r="O129" s="361"/>
      <c r="P129" s="361"/>
      <c r="Q129" s="361"/>
      <c r="R129" s="361"/>
      <c r="S129" s="352"/>
      <c r="T129" s="352">
        <v>70</v>
      </c>
      <c r="U129" s="352"/>
      <c r="V129" s="361"/>
      <c r="W129" s="352">
        <v>11</v>
      </c>
      <c r="X129" s="352"/>
      <c r="Y129" s="352" t="s">
        <v>207</v>
      </c>
      <c r="Z129" s="361"/>
      <c r="AA129" s="353" t="s">
        <v>448</v>
      </c>
      <c r="AB129" s="354" t="s">
        <v>528</v>
      </c>
    </row>
    <row r="130" spans="1:28" ht="16.2" customHeight="1" x14ac:dyDescent="0.25">
      <c r="A130" s="231"/>
      <c r="B130" s="251">
        <v>46082</v>
      </c>
      <c r="C130" s="146"/>
      <c r="D130" s="153"/>
      <c r="E130" s="148" t="s">
        <v>80</v>
      </c>
      <c r="F130" s="258">
        <v>45821</v>
      </c>
      <c r="G130" s="350" t="s">
        <v>83</v>
      </c>
      <c r="H130" s="361"/>
      <c r="I130" s="371"/>
      <c r="J130" s="352"/>
      <c r="K130" s="352">
        <v>2</v>
      </c>
      <c r="L130" s="361"/>
      <c r="M130" s="361"/>
      <c r="N130" s="361"/>
      <c r="O130" s="361"/>
      <c r="P130" s="361"/>
      <c r="Q130" s="361"/>
      <c r="R130" s="361"/>
      <c r="S130" s="352"/>
      <c r="T130" s="352">
        <v>70</v>
      </c>
      <c r="U130" s="352"/>
      <c r="V130" s="361"/>
      <c r="W130" s="352">
        <v>10</v>
      </c>
      <c r="X130" s="352"/>
      <c r="Y130" s="352" t="s">
        <v>210</v>
      </c>
      <c r="Z130" s="361"/>
      <c r="AA130" s="353" t="s">
        <v>445</v>
      </c>
      <c r="AB130" s="354" t="s">
        <v>529</v>
      </c>
    </row>
    <row r="131" spans="1:28" ht="16.2" customHeight="1" x14ac:dyDescent="0.25">
      <c r="A131" s="231"/>
      <c r="B131" s="251">
        <v>46082</v>
      </c>
      <c r="C131" s="146"/>
      <c r="D131" s="153"/>
      <c r="E131" s="148" t="s">
        <v>80</v>
      </c>
      <c r="F131" s="258">
        <v>45824</v>
      </c>
      <c r="G131" s="350" t="s">
        <v>530</v>
      </c>
      <c r="H131" s="361"/>
      <c r="I131" s="371"/>
      <c r="J131" s="352" t="s">
        <v>78</v>
      </c>
      <c r="K131" s="352" t="s">
        <v>453</v>
      </c>
      <c r="L131" s="361"/>
      <c r="M131" s="361"/>
      <c r="N131" s="361"/>
      <c r="O131" s="361"/>
      <c r="P131" s="361"/>
      <c r="Q131" s="361"/>
      <c r="R131" s="361"/>
      <c r="S131" s="352"/>
      <c r="T131" s="352">
        <v>70</v>
      </c>
      <c r="U131" s="352"/>
      <c r="V131" s="361"/>
      <c r="W131" s="352">
        <v>12</v>
      </c>
      <c r="X131" s="352"/>
      <c r="Y131" s="352" t="s">
        <v>207</v>
      </c>
      <c r="Z131" s="361"/>
      <c r="AA131" s="353" t="s">
        <v>145</v>
      </c>
      <c r="AB131" s="354" t="s">
        <v>531</v>
      </c>
    </row>
    <row r="132" spans="1:28" ht="16.2" customHeight="1" x14ac:dyDescent="0.25">
      <c r="A132" s="231"/>
      <c r="B132" s="304"/>
      <c r="C132" s="146"/>
      <c r="D132" s="153"/>
      <c r="E132" s="148" t="s">
        <v>80</v>
      </c>
      <c r="F132" s="252"/>
      <c r="G132" s="158"/>
      <c r="H132" s="253"/>
      <c r="I132" s="283"/>
      <c r="J132" s="231"/>
      <c r="K132" s="231"/>
      <c r="L132" s="253"/>
      <c r="M132" s="253"/>
      <c r="N132" s="253"/>
      <c r="O132" s="253"/>
      <c r="P132" s="253"/>
      <c r="Q132" s="253"/>
      <c r="R132" s="253"/>
      <c r="S132" s="231"/>
      <c r="T132" s="231"/>
      <c r="U132" s="231"/>
      <c r="V132" s="253"/>
      <c r="W132" s="231"/>
      <c r="X132" s="231"/>
      <c r="Y132" s="231"/>
      <c r="Z132" s="253"/>
      <c r="AA132" s="254"/>
      <c r="AB132" s="231"/>
    </row>
    <row r="133" spans="1:28" ht="16.2" customHeight="1" x14ac:dyDescent="0.25">
      <c r="A133" s="231">
        <v>7</v>
      </c>
      <c r="B133" s="304">
        <v>46089</v>
      </c>
      <c r="C133" s="140"/>
      <c r="D133" s="141"/>
      <c r="E133" s="148" t="s">
        <v>80</v>
      </c>
      <c r="F133" s="258">
        <v>45792</v>
      </c>
      <c r="G133" s="303" t="s">
        <v>532</v>
      </c>
      <c r="H133" s="253"/>
      <c r="I133" s="143"/>
      <c r="J133" s="231"/>
      <c r="K133" s="231"/>
      <c r="L133" s="253"/>
      <c r="M133" s="253"/>
      <c r="N133" s="253"/>
      <c r="O133" s="253"/>
      <c r="P133" s="253"/>
      <c r="Q133" s="253"/>
      <c r="R133" s="253"/>
      <c r="S133" s="231"/>
      <c r="T133" s="231"/>
      <c r="U133" s="231"/>
      <c r="V133" s="253"/>
      <c r="W133" s="231"/>
      <c r="X133" s="231"/>
      <c r="Y133" s="231"/>
      <c r="Z133" s="231" t="s">
        <v>78</v>
      </c>
      <c r="AA133" s="254" t="s">
        <v>444</v>
      </c>
      <c r="AB133" s="231"/>
    </row>
    <row r="134" spans="1:28" ht="16.2" customHeight="1" x14ac:dyDescent="0.25">
      <c r="A134" s="231"/>
      <c r="B134" s="304">
        <v>46089</v>
      </c>
      <c r="C134" s="140"/>
      <c r="D134" s="141"/>
      <c r="E134" s="148"/>
      <c r="F134" s="258">
        <v>45810</v>
      </c>
      <c r="G134" s="260" t="s">
        <v>533</v>
      </c>
      <c r="H134" s="361"/>
      <c r="I134" s="362"/>
      <c r="J134" s="352"/>
      <c r="K134" s="352">
        <v>2</v>
      </c>
      <c r="L134" s="361"/>
      <c r="M134" s="361"/>
      <c r="N134" s="361"/>
      <c r="O134" s="361"/>
      <c r="P134" s="361"/>
      <c r="Q134" s="361"/>
      <c r="R134" s="361"/>
      <c r="S134" s="352"/>
      <c r="T134" s="352">
        <v>70</v>
      </c>
      <c r="U134" s="352"/>
      <c r="V134" s="361"/>
      <c r="W134" s="352">
        <v>8</v>
      </c>
      <c r="X134" s="352"/>
      <c r="Y134" s="352"/>
      <c r="Z134" s="352"/>
      <c r="AA134" s="353" t="s">
        <v>477</v>
      </c>
      <c r="AB134" s="354" t="s">
        <v>485</v>
      </c>
    </row>
    <row r="135" spans="1:28" ht="16.2" customHeight="1" x14ac:dyDescent="0.25">
      <c r="A135" s="231"/>
      <c r="B135" s="304">
        <v>46089</v>
      </c>
      <c r="C135" s="140"/>
      <c r="D135" s="141"/>
      <c r="E135" s="145"/>
      <c r="F135" s="258">
        <v>45810</v>
      </c>
      <c r="G135" s="260" t="s">
        <v>79</v>
      </c>
      <c r="H135" s="361"/>
      <c r="I135" s="362"/>
      <c r="J135" s="352"/>
      <c r="K135" s="352">
        <v>5</v>
      </c>
      <c r="L135" s="361"/>
      <c r="M135" s="361"/>
      <c r="N135" s="361"/>
      <c r="O135" s="361"/>
      <c r="P135" s="361"/>
      <c r="Q135" s="361"/>
      <c r="R135" s="361"/>
      <c r="S135" s="352"/>
      <c r="T135" s="352">
        <v>70</v>
      </c>
      <c r="U135" s="352"/>
      <c r="V135" s="361"/>
      <c r="W135" s="352">
        <v>11</v>
      </c>
      <c r="X135" s="352"/>
      <c r="Y135" s="352" t="s">
        <v>207</v>
      </c>
      <c r="Z135" s="352"/>
      <c r="AA135" s="353" t="s">
        <v>146</v>
      </c>
      <c r="AB135" s="354" t="s">
        <v>300</v>
      </c>
    </row>
    <row r="136" spans="1:28" ht="16.2" customHeight="1" x14ac:dyDescent="0.25">
      <c r="A136" s="231"/>
      <c r="B136" s="304"/>
      <c r="C136" s="140"/>
      <c r="D136" s="141"/>
      <c r="E136" s="145"/>
      <c r="F136" s="258"/>
      <c r="G136" s="139"/>
      <c r="H136" s="253"/>
      <c r="I136" s="143"/>
      <c r="J136" s="231"/>
      <c r="K136" s="231"/>
      <c r="L136" s="253"/>
      <c r="M136" s="253"/>
      <c r="N136" s="253"/>
      <c r="O136" s="253"/>
      <c r="P136" s="253"/>
      <c r="Q136" s="253"/>
      <c r="R136" s="253"/>
      <c r="S136" s="231"/>
      <c r="T136" s="231"/>
      <c r="U136" s="231"/>
      <c r="V136" s="253"/>
      <c r="W136" s="231"/>
      <c r="X136" s="231"/>
      <c r="Y136" s="231"/>
      <c r="Z136" s="231"/>
      <c r="AA136" s="254"/>
      <c r="AB136" s="231"/>
    </row>
    <row r="137" spans="1:28" ht="16.2" customHeight="1" x14ac:dyDescent="0.25">
      <c r="A137" s="231">
        <v>7</v>
      </c>
      <c r="B137" s="251">
        <v>46096</v>
      </c>
      <c r="C137" s="140"/>
      <c r="D137" s="153"/>
      <c r="E137" s="145"/>
      <c r="F137" s="252"/>
      <c r="G137" s="261" t="s">
        <v>534</v>
      </c>
      <c r="H137" s="253"/>
      <c r="I137" s="283"/>
      <c r="J137" s="231"/>
      <c r="K137" s="231"/>
      <c r="L137" s="253"/>
      <c r="M137" s="253"/>
      <c r="N137" s="253"/>
      <c r="O137" s="253"/>
      <c r="P137" s="253"/>
      <c r="Q137" s="253"/>
      <c r="R137" s="253"/>
      <c r="S137" s="231"/>
      <c r="T137" s="231"/>
      <c r="U137" s="231"/>
      <c r="V137" s="253"/>
      <c r="W137" s="231"/>
      <c r="X137" s="231"/>
      <c r="Y137" s="231"/>
      <c r="Z137" s="231" t="s">
        <v>78</v>
      </c>
      <c r="AA137" s="254" t="s">
        <v>444</v>
      </c>
      <c r="AB137" s="231"/>
    </row>
    <row r="138" spans="1:28" ht="16.2" customHeight="1" x14ac:dyDescent="0.25">
      <c r="A138" s="231">
        <v>7</v>
      </c>
      <c r="B138" s="251">
        <v>46096</v>
      </c>
      <c r="C138" s="140"/>
      <c r="D138" s="153"/>
      <c r="E138" s="145"/>
      <c r="F138" s="252"/>
      <c r="G138" s="262" t="s">
        <v>535</v>
      </c>
      <c r="H138" s="253"/>
      <c r="I138" s="283"/>
      <c r="J138" s="231"/>
      <c r="K138" s="231"/>
      <c r="L138" s="253"/>
      <c r="M138" s="253"/>
      <c r="N138" s="253"/>
      <c r="O138" s="253"/>
      <c r="P138" s="253"/>
      <c r="Q138" s="253"/>
      <c r="R138" s="253"/>
      <c r="S138" s="231"/>
      <c r="T138" s="231"/>
      <c r="U138" s="231"/>
      <c r="V138" s="253"/>
      <c r="W138" s="231"/>
      <c r="X138" s="231"/>
      <c r="Y138" s="231"/>
      <c r="Z138" s="231" t="s">
        <v>78</v>
      </c>
      <c r="AA138" s="254" t="s">
        <v>444</v>
      </c>
      <c r="AB138" s="231"/>
    </row>
    <row r="139" spans="1:28" ht="16.2" customHeight="1" x14ac:dyDescent="0.25">
      <c r="A139" s="231"/>
      <c r="B139" s="251"/>
      <c r="C139" s="140"/>
      <c r="D139" s="153"/>
      <c r="E139" s="145"/>
      <c r="F139" s="252"/>
      <c r="G139" s="139"/>
      <c r="H139" s="253"/>
      <c r="I139" s="283"/>
      <c r="J139" s="231"/>
      <c r="K139" s="231"/>
      <c r="L139" s="253"/>
      <c r="M139" s="253"/>
      <c r="N139" s="253"/>
      <c r="O139" s="253"/>
      <c r="P139" s="253"/>
      <c r="Q139" s="253"/>
      <c r="R139" s="253"/>
      <c r="S139" s="231"/>
      <c r="T139" s="231"/>
      <c r="U139" s="231"/>
      <c r="V139" s="253"/>
      <c r="W139" s="231"/>
      <c r="X139" s="231"/>
      <c r="Y139" s="231"/>
      <c r="Z139" s="253"/>
      <c r="AA139" s="254"/>
      <c r="AB139" s="231"/>
    </row>
    <row r="140" spans="1:28" ht="16.2" customHeight="1" x14ac:dyDescent="0.25">
      <c r="A140" s="231">
        <v>7</v>
      </c>
      <c r="B140" s="251">
        <v>46103</v>
      </c>
      <c r="C140" s="140"/>
      <c r="D140" s="153"/>
      <c r="E140" s="145"/>
      <c r="F140" s="252"/>
      <c r="G140" s="285" t="s">
        <v>536</v>
      </c>
      <c r="H140" s="253"/>
      <c r="I140" s="283"/>
      <c r="J140" s="231"/>
      <c r="K140" s="231"/>
      <c r="L140" s="253"/>
      <c r="M140" s="253"/>
      <c r="N140" s="253"/>
      <c r="O140" s="253"/>
      <c r="P140" s="253"/>
      <c r="Q140" s="253"/>
      <c r="R140" s="253"/>
      <c r="S140" s="231"/>
      <c r="T140" s="231"/>
      <c r="U140" s="231"/>
      <c r="V140" s="253"/>
      <c r="W140" s="231"/>
      <c r="X140" s="231"/>
      <c r="Y140" s="231"/>
      <c r="Z140" s="231" t="s">
        <v>78</v>
      </c>
      <c r="AA140" s="254" t="s">
        <v>444</v>
      </c>
      <c r="AB140" s="231"/>
    </row>
    <row r="141" spans="1:28" ht="16.2" customHeight="1" x14ac:dyDescent="0.25">
      <c r="A141" s="231"/>
      <c r="B141" s="251"/>
      <c r="C141" s="155"/>
      <c r="D141" s="141"/>
      <c r="E141" s="142"/>
      <c r="F141" s="252"/>
      <c r="G141" s="158"/>
      <c r="H141" s="253"/>
      <c r="I141" s="283"/>
      <c r="J141" s="231"/>
      <c r="K141" s="231"/>
      <c r="L141" s="253"/>
      <c r="M141" s="253"/>
      <c r="N141" s="253"/>
      <c r="O141" s="253"/>
      <c r="P141" s="253"/>
      <c r="Q141" s="253"/>
      <c r="R141" s="253"/>
      <c r="S141" s="231"/>
      <c r="T141" s="231"/>
      <c r="U141" s="231"/>
      <c r="V141" s="253"/>
      <c r="W141" s="231"/>
      <c r="X141" s="231"/>
      <c r="Y141" s="231"/>
      <c r="Z141" s="253"/>
      <c r="AA141" s="254"/>
      <c r="AB141" s="231"/>
    </row>
    <row r="142" spans="1:28" ht="16.2" customHeight="1" x14ac:dyDescent="0.3">
      <c r="A142" s="231"/>
      <c r="B142" s="251"/>
      <c r="C142" s="155"/>
      <c r="D142" s="141"/>
      <c r="E142" s="142"/>
      <c r="F142" s="252"/>
      <c r="G142" s="158"/>
      <c r="H142" s="253"/>
      <c r="I142" s="273" t="s">
        <v>537</v>
      </c>
      <c r="J142" s="231"/>
      <c r="K142" s="231"/>
      <c r="L142" s="253"/>
      <c r="M142" s="253"/>
      <c r="N142" s="253"/>
      <c r="O142" s="253"/>
      <c r="P142" s="253"/>
      <c r="Q142" s="253"/>
      <c r="R142" s="253"/>
      <c r="S142" s="231"/>
      <c r="T142" s="231"/>
      <c r="U142" s="231"/>
      <c r="V142" s="253"/>
      <c r="W142" s="231"/>
      <c r="X142" s="231"/>
      <c r="Y142" s="231"/>
      <c r="Z142" s="253"/>
      <c r="AA142" s="254"/>
      <c r="AB142" s="231"/>
    </row>
    <row r="143" spans="1:28" ht="16.2" customHeight="1" x14ac:dyDescent="0.25">
      <c r="A143" s="231">
        <v>7</v>
      </c>
      <c r="B143" s="251">
        <v>46110</v>
      </c>
      <c r="C143" s="140"/>
      <c r="D143" s="141"/>
      <c r="E143" s="145"/>
      <c r="F143" s="252"/>
      <c r="G143" s="266" t="s">
        <v>538</v>
      </c>
      <c r="H143" s="253"/>
      <c r="I143" s="283" t="s">
        <v>539</v>
      </c>
      <c r="J143" s="231"/>
      <c r="K143" s="231"/>
      <c r="L143" s="253"/>
      <c r="M143" s="253"/>
      <c r="N143" s="253"/>
      <c r="O143" s="253"/>
      <c r="P143" s="253"/>
      <c r="Q143" s="253"/>
      <c r="R143" s="253"/>
      <c r="S143" s="231"/>
      <c r="T143" s="231"/>
      <c r="U143" s="231"/>
      <c r="V143" s="253"/>
      <c r="W143" s="231"/>
      <c r="X143" s="231"/>
      <c r="Y143" s="231"/>
      <c r="Z143" s="231" t="s">
        <v>78</v>
      </c>
      <c r="AA143" s="254" t="s">
        <v>444</v>
      </c>
      <c r="AB143" s="231"/>
    </row>
    <row r="145" spans="1:28" ht="16.2" customHeight="1" x14ac:dyDescent="0.25">
      <c r="A145" s="231"/>
      <c r="B145" s="251"/>
      <c r="C145" s="140"/>
      <c r="D145" s="141"/>
      <c r="E145" s="145"/>
      <c r="F145" s="252"/>
      <c r="G145" s="158"/>
      <c r="H145" s="253"/>
      <c r="I145" s="283"/>
      <c r="J145" s="231"/>
      <c r="K145" s="231"/>
      <c r="L145" s="253"/>
      <c r="M145" s="253"/>
      <c r="N145" s="253"/>
      <c r="O145" s="253"/>
      <c r="P145" s="253"/>
      <c r="Q145" s="253"/>
      <c r="R145" s="253"/>
      <c r="S145" s="231"/>
      <c r="T145" s="231"/>
      <c r="U145" s="231"/>
      <c r="V145" s="253"/>
      <c r="W145" s="231"/>
      <c r="X145" s="231"/>
      <c r="Y145" s="231"/>
      <c r="Z145" s="253"/>
      <c r="AA145" s="254"/>
      <c r="AB145" s="231"/>
    </row>
    <row r="146" spans="1:28" ht="30" customHeight="1" x14ac:dyDescent="0.25">
      <c r="A146" s="255"/>
      <c r="B146" s="256"/>
      <c r="C146" s="413" t="s">
        <v>540</v>
      </c>
      <c r="D146" s="424"/>
      <c r="E146" s="424"/>
      <c r="F146" s="424"/>
      <c r="G146" s="424"/>
      <c r="H146" s="424"/>
      <c r="I146" s="424"/>
      <c r="J146" s="424"/>
      <c r="K146" s="424"/>
      <c r="L146" s="424"/>
      <c r="M146" s="424"/>
      <c r="N146" s="424"/>
      <c r="O146" s="424"/>
      <c r="P146" s="424"/>
      <c r="Q146" s="424"/>
      <c r="R146" s="424"/>
      <c r="S146" s="424"/>
      <c r="T146" s="424"/>
      <c r="U146" s="424"/>
      <c r="V146" s="424"/>
      <c r="W146" s="424"/>
      <c r="X146" s="424"/>
      <c r="Y146" s="424"/>
      <c r="Z146" s="424"/>
      <c r="AA146" s="425"/>
      <c r="AB146" s="255"/>
    </row>
    <row r="147" spans="1:28" ht="16.2" customHeight="1" x14ac:dyDescent="0.25">
      <c r="A147" s="231"/>
      <c r="B147" s="251"/>
      <c r="C147" s="155"/>
      <c r="D147" s="141"/>
      <c r="E147" s="142"/>
      <c r="F147" s="252"/>
      <c r="G147" s="158"/>
      <c r="H147" s="253"/>
      <c r="I147" s="283"/>
      <c r="J147" s="231"/>
      <c r="K147" s="231"/>
      <c r="L147" s="253"/>
      <c r="M147" s="253"/>
      <c r="N147" s="253"/>
      <c r="O147" s="253"/>
      <c r="P147" s="253"/>
      <c r="Q147" s="253"/>
      <c r="R147" s="253"/>
      <c r="S147" s="231"/>
      <c r="T147" s="231"/>
      <c r="U147" s="231"/>
      <c r="V147" s="253"/>
      <c r="W147" s="231"/>
      <c r="X147" s="231"/>
      <c r="Y147" s="231"/>
      <c r="Z147" s="253"/>
      <c r="AA147" s="254"/>
      <c r="AB147" s="231"/>
    </row>
    <row r="148" spans="1:28" ht="16.2" customHeight="1" x14ac:dyDescent="0.25">
      <c r="A148" s="231">
        <v>7</v>
      </c>
      <c r="B148" s="251">
        <v>46117</v>
      </c>
      <c r="C148" s="146" t="s">
        <v>80</v>
      </c>
      <c r="D148" s="153"/>
      <c r="E148" s="154"/>
      <c r="F148" s="258">
        <v>45743</v>
      </c>
      <c r="G148" s="372" t="s">
        <v>460</v>
      </c>
      <c r="H148" s="356"/>
      <c r="I148" s="373"/>
      <c r="J148" s="358"/>
      <c r="K148" s="358">
        <v>1</v>
      </c>
      <c r="L148" s="356" t="s">
        <v>505</v>
      </c>
      <c r="M148" s="356"/>
      <c r="N148" s="356"/>
      <c r="O148" s="356"/>
      <c r="P148" s="356"/>
      <c r="Q148" s="356" t="s">
        <v>78</v>
      </c>
      <c r="R148" s="356"/>
      <c r="S148" s="358"/>
      <c r="T148" s="358">
        <v>80</v>
      </c>
      <c r="U148" s="358"/>
      <c r="V148" s="356"/>
      <c r="W148" s="358">
        <v>8</v>
      </c>
      <c r="X148" s="358"/>
      <c r="Y148" s="358" t="s">
        <v>210</v>
      </c>
      <c r="Z148" s="356"/>
      <c r="AA148" s="359" t="s">
        <v>149</v>
      </c>
      <c r="AB148" s="360" t="s">
        <v>305</v>
      </c>
    </row>
    <row r="149" spans="1:28" ht="16.2" customHeight="1" x14ac:dyDescent="0.25">
      <c r="A149" s="231"/>
      <c r="B149" s="251">
        <v>46117</v>
      </c>
      <c r="C149" s="146" t="s">
        <v>80</v>
      </c>
      <c r="D149" s="153"/>
      <c r="E149" s="154"/>
      <c r="F149" s="258">
        <v>45810</v>
      </c>
      <c r="G149" s="350" t="s">
        <v>105</v>
      </c>
      <c r="H149" s="361"/>
      <c r="I149" s="371"/>
      <c r="J149" s="352"/>
      <c r="K149" s="352">
        <v>2</v>
      </c>
      <c r="L149" s="361"/>
      <c r="M149" s="361"/>
      <c r="N149" s="361"/>
      <c r="O149" s="361"/>
      <c r="P149" s="361"/>
      <c r="Q149" s="361"/>
      <c r="R149" s="361"/>
      <c r="S149" s="352"/>
      <c r="T149" s="352">
        <v>80</v>
      </c>
      <c r="U149" s="352"/>
      <c r="V149" s="361" t="s">
        <v>171</v>
      </c>
      <c r="W149" s="352">
        <v>8</v>
      </c>
      <c r="X149" s="352"/>
      <c r="Y149" s="352" t="s">
        <v>210</v>
      </c>
      <c r="Z149" s="361"/>
      <c r="AA149" s="353" t="s">
        <v>477</v>
      </c>
      <c r="AB149" s="354" t="s">
        <v>253</v>
      </c>
    </row>
    <row r="150" spans="1:28" ht="16.2" customHeight="1" x14ac:dyDescent="0.25">
      <c r="A150" s="231"/>
      <c r="B150" s="251">
        <v>46117</v>
      </c>
      <c r="C150" s="146" t="s">
        <v>80</v>
      </c>
      <c r="D150" s="153"/>
      <c r="E150" s="154"/>
      <c r="F150" s="258">
        <v>45810</v>
      </c>
      <c r="G150" s="350" t="s">
        <v>541</v>
      </c>
      <c r="H150" s="361"/>
      <c r="I150" s="371"/>
      <c r="J150" s="352"/>
      <c r="K150" s="352">
        <v>2</v>
      </c>
      <c r="L150" s="361"/>
      <c r="M150" s="361"/>
      <c r="N150" s="361"/>
      <c r="O150" s="361"/>
      <c r="P150" s="361"/>
      <c r="Q150" s="361"/>
      <c r="R150" s="361"/>
      <c r="S150" s="352"/>
      <c r="T150" s="352">
        <v>70</v>
      </c>
      <c r="U150" s="352"/>
      <c r="V150" s="361"/>
      <c r="W150" s="352">
        <v>10</v>
      </c>
      <c r="X150" s="352"/>
      <c r="Y150" s="352" t="s">
        <v>207</v>
      </c>
      <c r="Z150" s="361"/>
      <c r="AA150" s="353" t="s">
        <v>155</v>
      </c>
      <c r="AB150" s="354" t="s">
        <v>309</v>
      </c>
    </row>
    <row r="151" spans="1:28" ht="16.2" customHeight="1" x14ac:dyDescent="0.25">
      <c r="A151" s="231"/>
      <c r="B151" s="251">
        <v>46117</v>
      </c>
      <c r="C151" s="146" t="s">
        <v>80</v>
      </c>
      <c r="D151" s="153"/>
      <c r="E151" s="154"/>
      <c r="F151" s="258">
        <v>45820</v>
      </c>
      <c r="G151" s="350" t="s">
        <v>85</v>
      </c>
      <c r="H151" s="361"/>
      <c r="I151" s="371"/>
      <c r="J151" s="352"/>
      <c r="K151" s="352">
        <v>2</v>
      </c>
      <c r="L151" s="361"/>
      <c r="M151" s="361"/>
      <c r="N151" s="361"/>
      <c r="O151" s="361"/>
      <c r="P151" s="361"/>
      <c r="Q151" s="361"/>
      <c r="R151" s="361"/>
      <c r="S151" s="352"/>
      <c r="T151" s="352">
        <v>70</v>
      </c>
      <c r="U151" s="352"/>
      <c r="V151" s="361"/>
      <c r="W151" s="352">
        <v>12</v>
      </c>
      <c r="X151" s="352"/>
      <c r="Y151" s="352" t="s">
        <v>210</v>
      </c>
      <c r="Z151" s="361"/>
      <c r="AA151" s="353" t="s">
        <v>148</v>
      </c>
      <c r="AB151" s="354" t="s">
        <v>482</v>
      </c>
    </row>
    <row r="152" spans="1:28" ht="16.2" customHeight="1" x14ac:dyDescent="0.25">
      <c r="A152" s="231"/>
      <c r="B152" s="251">
        <v>46117</v>
      </c>
      <c r="C152" s="146" t="s">
        <v>80</v>
      </c>
      <c r="D152" s="153"/>
      <c r="E152" s="154"/>
      <c r="F152" s="258">
        <v>45821</v>
      </c>
      <c r="G152" s="350" t="s">
        <v>83</v>
      </c>
      <c r="H152" s="361"/>
      <c r="I152" s="371"/>
      <c r="J152" s="352"/>
      <c r="K152" s="377" t="s">
        <v>542</v>
      </c>
      <c r="L152" s="361"/>
      <c r="M152" s="361"/>
      <c r="N152" s="361"/>
      <c r="O152" s="361"/>
      <c r="P152" s="361"/>
      <c r="Q152" s="361"/>
      <c r="R152" s="361"/>
      <c r="S152" s="352"/>
      <c r="T152" s="352">
        <v>70</v>
      </c>
      <c r="U152" s="352"/>
      <c r="V152" s="361"/>
      <c r="W152" s="352">
        <v>19</v>
      </c>
      <c r="X152" s="352"/>
      <c r="Y152" s="352" t="s">
        <v>210</v>
      </c>
      <c r="Z152" s="361"/>
      <c r="AA152" s="353" t="s">
        <v>445</v>
      </c>
      <c r="AB152" s="354" t="s">
        <v>529</v>
      </c>
    </row>
    <row r="153" spans="1:28" ht="16.2" customHeight="1" x14ac:dyDescent="0.25">
      <c r="A153" s="231"/>
      <c r="B153" s="251">
        <v>46117</v>
      </c>
      <c r="C153" s="146" t="s">
        <v>80</v>
      </c>
      <c r="D153" s="153"/>
      <c r="E153" s="154"/>
      <c r="F153" s="258">
        <v>45821</v>
      </c>
      <c r="G153" s="350" t="s">
        <v>252</v>
      </c>
      <c r="H153" s="361"/>
      <c r="I153" s="371"/>
      <c r="J153" s="352"/>
      <c r="K153" s="352">
        <v>3</v>
      </c>
      <c r="L153" s="361"/>
      <c r="M153" s="361"/>
      <c r="N153" s="361"/>
      <c r="O153" s="361"/>
      <c r="P153" s="361"/>
      <c r="Q153" s="361"/>
      <c r="R153" s="361"/>
      <c r="S153" s="352"/>
      <c r="T153" s="352">
        <v>70</v>
      </c>
      <c r="U153" s="352" t="s">
        <v>78</v>
      </c>
      <c r="V153" s="361"/>
      <c r="W153" s="352">
        <v>8</v>
      </c>
      <c r="X153" s="352"/>
      <c r="Y153" s="352" t="s">
        <v>210</v>
      </c>
      <c r="Z153" s="361"/>
      <c r="AA153" s="353" t="s">
        <v>445</v>
      </c>
      <c r="AB153" s="354" t="s">
        <v>543</v>
      </c>
    </row>
    <row r="154" spans="1:28" ht="16.2" customHeight="1" x14ac:dyDescent="0.25">
      <c r="A154" s="231"/>
      <c r="B154" s="251">
        <v>46117</v>
      </c>
      <c r="C154" s="146" t="s">
        <v>80</v>
      </c>
      <c r="D154" s="153"/>
      <c r="E154" s="154"/>
      <c r="F154" s="258">
        <v>45824</v>
      </c>
      <c r="G154" s="350" t="s">
        <v>84</v>
      </c>
      <c r="H154" s="361"/>
      <c r="I154" s="371"/>
      <c r="J154" s="352"/>
      <c r="K154" s="352" t="s">
        <v>214</v>
      </c>
      <c r="L154" s="361"/>
      <c r="M154" s="361"/>
      <c r="N154" s="361"/>
      <c r="O154" s="361"/>
      <c r="P154" s="361"/>
      <c r="Q154" s="361"/>
      <c r="R154" s="361"/>
      <c r="S154" s="352"/>
      <c r="T154" s="352">
        <v>70</v>
      </c>
      <c r="U154" s="352"/>
      <c r="V154" s="361"/>
      <c r="W154" s="352"/>
      <c r="X154" s="352"/>
      <c r="Y154" s="352" t="s">
        <v>207</v>
      </c>
      <c r="Z154" s="361"/>
      <c r="AA154" s="353" t="s">
        <v>150</v>
      </c>
      <c r="AB154" s="354" t="s">
        <v>493</v>
      </c>
    </row>
    <row r="155" spans="1:28" ht="16.2" customHeight="1" x14ac:dyDescent="0.25">
      <c r="A155" s="231"/>
      <c r="B155" s="251"/>
      <c r="C155" s="146" t="s">
        <v>80</v>
      </c>
      <c r="D155" s="153"/>
      <c r="E155" s="154"/>
      <c r="F155" s="252"/>
      <c r="G155" s="158"/>
      <c r="H155" s="253"/>
      <c r="I155" s="283"/>
      <c r="J155" s="231"/>
      <c r="K155" s="231"/>
      <c r="L155" s="253"/>
      <c r="M155" s="253"/>
      <c r="N155" s="253"/>
      <c r="O155" s="253"/>
      <c r="P155" s="253"/>
      <c r="Q155" s="253"/>
      <c r="R155" s="253"/>
      <c r="S155" s="231"/>
      <c r="T155" s="231"/>
      <c r="U155" s="231"/>
      <c r="V155" s="253"/>
      <c r="W155" s="231"/>
      <c r="X155" s="231"/>
      <c r="Y155" s="231"/>
      <c r="Z155" s="253"/>
      <c r="AA155" s="254"/>
      <c r="AB155" s="231"/>
    </row>
    <row r="156" spans="1:28" ht="16.2" customHeight="1" x14ac:dyDescent="0.25">
      <c r="A156" s="231">
        <v>7</v>
      </c>
      <c r="B156" s="251">
        <v>46124</v>
      </c>
      <c r="C156" s="146" t="s">
        <v>80</v>
      </c>
      <c r="D156" s="153" t="s">
        <v>80</v>
      </c>
      <c r="E156" s="154"/>
      <c r="F156" s="252"/>
      <c r="G156" s="372" t="s">
        <v>84</v>
      </c>
      <c r="H156" s="356"/>
      <c r="I156" s="373"/>
      <c r="J156" s="358"/>
      <c r="K156" s="358">
        <v>1</v>
      </c>
      <c r="L156" s="356" t="s">
        <v>505</v>
      </c>
      <c r="M156" s="356"/>
      <c r="N156" s="356"/>
      <c r="O156" s="356"/>
      <c r="P156" s="356"/>
      <c r="Q156" s="356" t="s">
        <v>78</v>
      </c>
      <c r="R156" s="356"/>
      <c r="S156" s="358"/>
      <c r="T156" s="358">
        <v>70</v>
      </c>
      <c r="U156" s="358"/>
      <c r="V156" s="356"/>
      <c r="W156" s="358">
        <v>8</v>
      </c>
      <c r="X156" s="358"/>
      <c r="Y156" s="358" t="s">
        <v>210</v>
      </c>
      <c r="Z156" s="356"/>
      <c r="AA156" s="359" t="s">
        <v>150</v>
      </c>
      <c r="AB156" s="360" t="s">
        <v>306</v>
      </c>
    </row>
    <row r="157" spans="1:28" ht="16.2" customHeight="1" x14ac:dyDescent="0.25">
      <c r="A157" s="231"/>
      <c r="B157" s="251">
        <v>46124</v>
      </c>
      <c r="C157" s="146" t="s">
        <v>80</v>
      </c>
      <c r="D157" s="153" t="s">
        <v>80</v>
      </c>
      <c r="E157" s="154"/>
      <c r="F157" s="252"/>
      <c r="G157" s="350" t="s">
        <v>212</v>
      </c>
      <c r="H157" s="361"/>
      <c r="I157" s="371"/>
      <c r="J157" s="352"/>
      <c r="K157" s="352">
        <v>1</v>
      </c>
      <c r="L157" s="361"/>
      <c r="M157" s="361"/>
      <c r="N157" s="361"/>
      <c r="O157" s="361"/>
      <c r="P157" s="361"/>
      <c r="Q157" s="361"/>
      <c r="R157" s="361"/>
      <c r="S157" s="352"/>
      <c r="T157" s="352">
        <v>60</v>
      </c>
      <c r="U157" s="352"/>
      <c r="V157" s="361"/>
      <c r="W157" s="352">
        <v>16</v>
      </c>
      <c r="X157" s="352"/>
      <c r="Y157" s="352"/>
      <c r="Z157" s="361"/>
      <c r="AA157" s="353" t="s">
        <v>152</v>
      </c>
      <c r="AB157" s="354" t="s">
        <v>516</v>
      </c>
    </row>
    <row r="158" spans="1:28" ht="16.2" customHeight="1" x14ac:dyDescent="0.25">
      <c r="A158" s="231"/>
      <c r="B158" s="251"/>
      <c r="C158" s="146"/>
      <c r="D158" s="153"/>
      <c r="E158" s="154"/>
      <c r="F158" s="252"/>
      <c r="G158" s="296"/>
      <c r="H158" s="253"/>
      <c r="I158" s="283"/>
      <c r="J158" s="231"/>
      <c r="K158" s="231"/>
      <c r="L158" s="253"/>
      <c r="M158" s="253"/>
      <c r="N158" s="253"/>
      <c r="O158" s="253"/>
      <c r="P158" s="253"/>
      <c r="Q158" s="253"/>
      <c r="R158" s="253"/>
      <c r="S158" s="231"/>
      <c r="T158" s="231"/>
      <c r="U158" s="231"/>
      <c r="V158" s="253"/>
      <c r="W158" s="231"/>
      <c r="X158" s="231"/>
      <c r="Y158" s="231"/>
      <c r="Z158" s="253"/>
      <c r="AA158" s="254"/>
      <c r="AB158" s="231"/>
    </row>
    <row r="159" spans="1:28" ht="16.2" customHeight="1" x14ac:dyDescent="0.25">
      <c r="A159" s="231"/>
      <c r="B159" s="251">
        <v>46127</v>
      </c>
      <c r="C159" s="146"/>
      <c r="D159" s="153"/>
      <c r="E159" s="154"/>
      <c r="F159" s="258">
        <v>45824</v>
      </c>
      <c r="G159" s="305" t="s">
        <v>544</v>
      </c>
      <c r="H159" s="306"/>
      <c r="I159" s="307"/>
      <c r="J159" s="308"/>
      <c r="K159" s="308"/>
      <c r="L159" s="306"/>
      <c r="M159" s="306"/>
      <c r="N159" s="306"/>
      <c r="O159" s="306"/>
      <c r="P159" s="306"/>
      <c r="Q159" s="306"/>
      <c r="R159" s="306"/>
      <c r="S159" s="308"/>
      <c r="T159" s="308"/>
      <c r="U159" s="308"/>
      <c r="V159" s="306"/>
      <c r="W159" s="308"/>
      <c r="X159" s="308"/>
      <c r="Y159" s="308"/>
      <c r="Z159" s="306" t="s">
        <v>78</v>
      </c>
      <c r="AA159" s="309" t="s">
        <v>444</v>
      </c>
      <c r="AB159" s="308"/>
    </row>
    <row r="160" spans="1:28" ht="16.2" customHeight="1" x14ac:dyDescent="0.25">
      <c r="A160" s="231"/>
      <c r="B160" s="251"/>
      <c r="C160" s="146" t="s">
        <v>80</v>
      </c>
      <c r="D160" s="153" t="s">
        <v>80</v>
      </c>
      <c r="E160" s="154"/>
      <c r="F160" s="252"/>
      <c r="G160" s="158"/>
      <c r="H160" s="253"/>
      <c r="I160" s="283"/>
      <c r="J160" s="231"/>
      <c r="K160" s="231"/>
      <c r="L160" s="253"/>
      <c r="M160" s="253"/>
      <c r="N160" s="253"/>
      <c r="O160" s="253"/>
      <c r="P160" s="253"/>
      <c r="Q160" s="253"/>
      <c r="R160" s="253"/>
      <c r="S160" s="231"/>
      <c r="T160" s="231"/>
      <c r="U160" s="231"/>
      <c r="V160" s="253"/>
      <c r="W160" s="231"/>
      <c r="X160" s="231"/>
      <c r="Y160" s="231"/>
      <c r="Z160" s="253"/>
      <c r="AA160" s="254"/>
      <c r="AB160" s="231"/>
    </row>
    <row r="161" spans="1:28" ht="16.2" customHeight="1" x14ac:dyDescent="0.25">
      <c r="A161" s="231"/>
      <c r="B161" s="251">
        <v>46130</v>
      </c>
      <c r="C161" s="146" t="s">
        <v>80</v>
      </c>
      <c r="D161" s="153" t="s">
        <v>80</v>
      </c>
      <c r="E161" s="154"/>
      <c r="F161" s="258">
        <v>45810</v>
      </c>
      <c r="G161" s="350" t="s">
        <v>79</v>
      </c>
      <c r="H161" s="361"/>
      <c r="I161" s="371"/>
      <c r="J161" s="352"/>
      <c r="K161" s="352">
        <v>3</v>
      </c>
      <c r="L161" s="361"/>
      <c r="M161" s="361"/>
      <c r="N161" s="361"/>
      <c r="O161" s="361"/>
      <c r="P161" s="361"/>
      <c r="Q161" s="361"/>
      <c r="R161" s="361"/>
      <c r="S161" s="352"/>
      <c r="T161" s="352">
        <v>70</v>
      </c>
      <c r="U161" s="352"/>
      <c r="V161" s="361"/>
      <c r="W161" s="352">
        <v>19</v>
      </c>
      <c r="X161" s="352"/>
      <c r="Y161" s="352" t="s">
        <v>207</v>
      </c>
      <c r="Z161" s="361"/>
      <c r="AA161" s="353" t="s">
        <v>146</v>
      </c>
      <c r="AB161" s="354" t="s">
        <v>300</v>
      </c>
    </row>
    <row r="162" spans="1:28" ht="16.2" customHeight="1" x14ac:dyDescent="0.25">
      <c r="A162" s="231"/>
      <c r="B162" s="251">
        <v>46130</v>
      </c>
      <c r="C162" s="146" t="s">
        <v>80</v>
      </c>
      <c r="D162" s="153" t="s">
        <v>80</v>
      </c>
      <c r="E162" s="154" t="s">
        <v>80</v>
      </c>
      <c r="F162" s="258">
        <v>45811</v>
      </c>
      <c r="G162" s="350" t="s">
        <v>104</v>
      </c>
      <c r="H162" s="361"/>
      <c r="I162" s="371"/>
      <c r="J162" s="352"/>
      <c r="K162" s="352">
        <v>3</v>
      </c>
      <c r="L162" s="361"/>
      <c r="M162" s="361"/>
      <c r="N162" s="361"/>
      <c r="O162" s="361"/>
      <c r="P162" s="361"/>
      <c r="Q162" s="361"/>
      <c r="R162" s="361"/>
      <c r="S162" s="352"/>
      <c r="T162" s="352">
        <v>70</v>
      </c>
      <c r="U162" s="352"/>
      <c r="V162" s="361"/>
      <c r="W162" s="352"/>
      <c r="X162" s="352"/>
      <c r="Y162" s="352"/>
      <c r="Z162" s="361"/>
      <c r="AA162" s="353" t="s">
        <v>149</v>
      </c>
      <c r="AB162" s="354" t="s">
        <v>499</v>
      </c>
    </row>
    <row r="163" spans="1:28" ht="16.2" customHeight="1" x14ac:dyDescent="0.25">
      <c r="A163" s="231">
        <v>7</v>
      </c>
      <c r="B163" s="251">
        <v>46131</v>
      </c>
      <c r="C163" s="146" t="s">
        <v>80</v>
      </c>
      <c r="D163" s="153" t="s">
        <v>80</v>
      </c>
      <c r="E163" s="154" t="s">
        <v>80</v>
      </c>
      <c r="F163" s="258">
        <v>45800</v>
      </c>
      <c r="G163" s="257" t="s">
        <v>545</v>
      </c>
      <c r="H163" s="253"/>
      <c r="I163" s="283"/>
      <c r="J163" s="231"/>
      <c r="K163" s="231"/>
      <c r="L163" s="253"/>
      <c r="M163" s="253"/>
      <c r="N163" s="253"/>
      <c r="O163" s="253"/>
      <c r="P163" s="253"/>
      <c r="Q163" s="253"/>
      <c r="R163" s="253"/>
      <c r="S163" s="231"/>
      <c r="T163" s="231"/>
      <c r="U163" s="231"/>
      <c r="V163" s="253"/>
      <c r="W163" s="231"/>
      <c r="X163" s="231"/>
      <c r="Y163" s="231"/>
      <c r="Z163" s="231" t="s">
        <v>78</v>
      </c>
      <c r="AA163" s="254" t="s">
        <v>444</v>
      </c>
      <c r="AB163" s="231"/>
    </row>
    <row r="164" spans="1:28" ht="16.2" customHeight="1" x14ac:dyDescent="0.25">
      <c r="A164" s="231">
        <v>7</v>
      </c>
      <c r="B164" s="251">
        <v>46131</v>
      </c>
      <c r="C164" s="146"/>
      <c r="D164" s="153" t="s">
        <v>80</v>
      </c>
      <c r="E164" s="154" t="s">
        <v>80</v>
      </c>
      <c r="F164" s="252"/>
      <c r="G164" s="284" t="s">
        <v>88</v>
      </c>
      <c r="H164" s="384"/>
      <c r="I164" s="385"/>
      <c r="J164" s="386"/>
      <c r="K164" s="386">
        <v>2</v>
      </c>
      <c r="L164" s="384" t="s">
        <v>505</v>
      </c>
      <c r="M164" s="384"/>
      <c r="N164" s="384"/>
      <c r="O164" s="384"/>
      <c r="P164" s="384"/>
      <c r="Q164" s="384" t="s">
        <v>78</v>
      </c>
      <c r="R164" s="384"/>
      <c r="S164" s="386"/>
      <c r="T164" s="386">
        <v>70</v>
      </c>
      <c r="U164" s="386"/>
      <c r="V164" s="384"/>
      <c r="W164" s="386">
        <v>8</v>
      </c>
      <c r="X164" s="386"/>
      <c r="Y164" s="386" t="s">
        <v>210</v>
      </c>
      <c r="Z164" s="384"/>
      <c r="AA164" s="387" t="s">
        <v>445</v>
      </c>
      <c r="AB164" s="360" t="s">
        <v>546</v>
      </c>
    </row>
    <row r="165" spans="1:28" ht="16.2" customHeight="1" x14ac:dyDescent="0.25">
      <c r="A165" s="231"/>
      <c r="B165" s="251">
        <v>46131</v>
      </c>
      <c r="C165" s="146"/>
      <c r="D165" s="153" t="s">
        <v>80</v>
      </c>
      <c r="E165" s="154" t="s">
        <v>80</v>
      </c>
      <c r="F165" s="258">
        <v>45821</v>
      </c>
      <c r="G165" s="378" t="s">
        <v>547</v>
      </c>
      <c r="H165" s="379"/>
      <c r="I165" s="380"/>
      <c r="J165" s="381" t="s">
        <v>78</v>
      </c>
      <c r="K165" s="381" t="s">
        <v>548</v>
      </c>
      <c r="L165" s="379"/>
      <c r="M165" s="379"/>
      <c r="N165" s="379"/>
      <c r="O165" s="379"/>
      <c r="P165" s="379"/>
      <c r="Q165" s="379"/>
      <c r="R165" s="379"/>
      <c r="S165" s="381"/>
      <c r="T165" s="381">
        <v>70</v>
      </c>
      <c r="U165" s="381"/>
      <c r="V165" s="379"/>
      <c r="W165" s="381">
        <v>10</v>
      </c>
      <c r="X165" s="381"/>
      <c r="Y165" s="381" t="s">
        <v>207</v>
      </c>
      <c r="Z165" s="379"/>
      <c r="AA165" s="382" t="s">
        <v>445</v>
      </c>
      <c r="AB165" s="354" t="s">
        <v>549</v>
      </c>
    </row>
    <row r="166" spans="1:28" ht="16.2" customHeight="1" x14ac:dyDescent="0.25">
      <c r="A166" s="231"/>
      <c r="B166" s="251"/>
      <c r="C166" s="146"/>
      <c r="D166" s="153" t="s">
        <v>80</v>
      </c>
      <c r="E166" s="154" t="s">
        <v>80</v>
      </c>
      <c r="F166" s="252"/>
      <c r="G166" s="158"/>
      <c r="H166" s="253"/>
      <c r="I166" s="283"/>
      <c r="J166" s="231"/>
      <c r="K166" s="231"/>
      <c r="L166" s="253"/>
      <c r="M166" s="253"/>
      <c r="N166" s="253"/>
      <c r="O166" s="253"/>
      <c r="P166" s="253"/>
      <c r="Q166" s="253"/>
      <c r="R166" s="253"/>
      <c r="S166" s="231"/>
      <c r="T166" s="231"/>
      <c r="U166" s="231"/>
      <c r="V166" s="253"/>
      <c r="W166" s="231"/>
      <c r="X166" s="231"/>
      <c r="Y166" s="231"/>
      <c r="Z166" s="253"/>
      <c r="AA166" s="254"/>
      <c r="AB166" s="231"/>
    </row>
    <row r="167" spans="1:28" ht="16.2" customHeight="1" x14ac:dyDescent="0.25">
      <c r="A167" s="231">
        <v>7</v>
      </c>
      <c r="B167" s="251">
        <v>46138</v>
      </c>
      <c r="C167" s="146"/>
      <c r="D167" s="153" t="s">
        <v>80</v>
      </c>
      <c r="E167" s="154" t="s">
        <v>80</v>
      </c>
      <c r="F167" s="258">
        <v>45800</v>
      </c>
      <c r="G167" s="257" t="s">
        <v>550</v>
      </c>
      <c r="H167" s="253"/>
      <c r="I167" s="283"/>
      <c r="J167" s="231"/>
      <c r="K167" s="231"/>
      <c r="L167" s="253"/>
      <c r="M167" s="253"/>
      <c r="N167" s="253"/>
      <c r="O167" s="253"/>
      <c r="P167" s="253"/>
      <c r="Q167" s="253"/>
      <c r="R167" s="253"/>
      <c r="S167" s="231"/>
      <c r="T167" s="231"/>
      <c r="U167" s="231"/>
      <c r="V167" s="253"/>
      <c r="W167" s="231"/>
      <c r="X167" s="231"/>
      <c r="Y167" s="231"/>
      <c r="Z167" s="231" t="s">
        <v>78</v>
      </c>
      <c r="AA167" s="254" t="s">
        <v>444</v>
      </c>
      <c r="AB167" s="231"/>
    </row>
    <row r="168" spans="1:28" ht="16.2" customHeight="1" x14ac:dyDescent="0.25">
      <c r="A168" s="231"/>
      <c r="B168" s="251">
        <v>46138</v>
      </c>
      <c r="C168" s="146"/>
      <c r="D168" s="153"/>
      <c r="E168" s="154" t="s">
        <v>80</v>
      </c>
      <c r="F168" s="258">
        <v>45824</v>
      </c>
      <c r="G168" s="383" t="s">
        <v>462</v>
      </c>
      <c r="H168" s="361"/>
      <c r="I168" s="371"/>
      <c r="J168" s="352"/>
      <c r="K168" s="352" t="s">
        <v>551</v>
      </c>
      <c r="L168" s="361"/>
      <c r="M168" s="361"/>
      <c r="N168" s="361"/>
      <c r="O168" s="361"/>
      <c r="P168" s="361"/>
      <c r="Q168" s="361"/>
      <c r="R168" s="361"/>
      <c r="S168" s="352"/>
      <c r="T168" s="352">
        <v>70</v>
      </c>
      <c r="U168" s="352"/>
      <c r="V168" s="361"/>
      <c r="W168" s="352">
        <v>16</v>
      </c>
      <c r="X168" s="352"/>
      <c r="Y168" s="352" t="s">
        <v>207</v>
      </c>
      <c r="Z168" s="352"/>
      <c r="AA168" s="353" t="s">
        <v>145</v>
      </c>
      <c r="AB168" s="354" t="s">
        <v>463</v>
      </c>
    </row>
    <row r="169" spans="1:28" ht="16.2" customHeight="1" x14ac:dyDescent="0.25">
      <c r="A169" s="231"/>
      <c r="B169" s="251"/>
      <c r="C169" s="146"/>
      <c r="D169" s="153"/>
      <c r="E169" s="154"/>
      <c r="F169" s="252"/>
      <c r="G169" s="310"/>
      <c r="H169" s="253"/>
      <c r="I169" s="283"/>
      <c r="J169" s="231"/>
      <c r="K169" s="231"/>
      <c r="L169" s="253"/>
      <c r="M169" s="253"/>
      <c r="N169" s="253"/>
      <c r="O169" s="253"/>
      <c r="P169" s="253"/>
      <c r="Q169" s="253"/>
      <c r="R169" s="253"/>
      <c r="S169" s="231"/>
      <c r="T169" s="231"/>
      <c r="U169" s="231"/>
      <c r="V169" s="253"/>
      <c r="W169" s="231"/>
      <c r="X169" s="231"/>
      <c r="Y169" s="231"/>
      <c r="Z169" s="231"/>
      <c r="AA169" s="254"/>
      <c r="AB169" s="231"/>
    </row>
    <row r="170" spans="1:28" ht="31.5" customHeight="1" x14ac:dyDescent="0.25">
      <c r="A170" s="255"/>
      <c r="B170" s="256"/>
      <c r="C170" s="413" t="s">
        <v>552</v>
      </c>
      <c r="D170" s="426"/>
      <c r="E170" s="426"/>
      <c r="F170" s="426"/>
      <c r="G170" s="426"/>
      <c r="H170" s="426"/>
      <c r="I170" s="426"/>
      <c r="J170" s="426"/>
      <c r="K170" s="426"/>
      <c r="L170" s="426"/>
      <c r="M170" s="426"/>
      <c r="N170" s="426"/>
      <c r="O170" s="426"/>
      <c r="P170" s="426"/>
      <c r="Q170" s="426"/>
      <c r="R170" s="426"/>
      <c r="S170" s="426"/>
      <c r="T170" s="426"/>
      <c r="U170" s="426"/>
      <c r="V170" s="426"/>
      <c r="W170" s="426"/>
      <c r="X170" s="426"/>
      <c r="Y170" s="426"/>
      <c r="Z170" s="426"/>
      <c r="AA170" s="427"/>
      <c r="AB170" s="255"/>
    </row>
    <row r="171" spans="1:28" ht="16.2" customHeight="1" x14ac:dyDescent="0.25">
      <c r="A171" s="231">
        <v>5</v>
      </c>
      <c r="B171" s="251">
        <v>46143</v>
      </c>
      <c r="C171" s="146"/>
      <c r="D171" s="153"/>
      <c r="E171" s="154" t="s">
        <v>80</v>
      </c>
      <c r="F171" s="252"/>
      <c r="G171" s="158"/>
      <c r="H171" s="253"/>
      <c r="I171" s="283"/>
      <c r="J171" s="231"/>
      <c r="K171" s="231"/>
      <c r="L171" s="253"/>
      <c r="M171" s="253"/>
      <c r="N171" s="253"/>
      <c r="O171" s="253"/>
      <c r="P171" s="253"/>
      <c r="Q171" s="253"/>
      <c r="R171" s="253"/>
      <c r="S171" s="231"/>
      <c r="T171" s="231"/>
      <c r="U171" s="231"/>
      <c r="V171" s="253"/>
      <c r="W171" s="231"/>
      <c r="X171" s="231"/>
      <c r="Y171" s="231"/>
      <c r="Z171" s="253"/>
      <c r="AA171" s="254"/>
      <c r="AB171" s="231"/>
    </row>
    <row r="172" spans="1:28" ht="16.2" customHeight="1" x14ac:dyDescent="0.25">
      <c r="A172" s="231"/>
      <c r="B172" s="251"/>
      <c r="C172" s="146"/>
      <c r="D172" s="153"/>
      <c r="E172" s="154" t="s">
        <v>80</v>
      </c>
      <c r="F172" s="252"/>
      <c r="G172" s="158"/>
      <c r="H172" s="253"/>
      <c r="I172" s="283"/>
      <c r="J172" s="231"/>
      <c r="K172" s="231"/>
      <c r="L172" s="253"/>
      <c r="M172" s="253"/>
      <c r="N172" s="253"/>
      <c r="O172" s="253"/>
      <c r="P172" s="253"/>
      <c r="Q172" s="253"/>
      <c r="R172" s="253"/>
      <c r="S172" s="231"/>
      <c r="T172" s="231"/>
      <c r="U172" s="231"/>
      <c r="V172" s="253"/>
      <c r="W172" s="231"/>
      <c r="X172" s="231"/>
      <c r="Y172" s="231"/>
      <c r="Z172" s="253"/>
      <c r="AA172" s="254"/>
      <c r="AB172" s="231"/>
    </row>
    <row r="173" spans="1:28" ht="16.2" customHeight="1" x14ac:dyDescent="0.25">
      <c r="A173" s="231">
        <v>7</v>
      </c>
      <c r="B173" s="251">
        <v>46145</v>
      </c>
      <c r="C173" s="146"/>
      <c r="D173" s="153"/>
      <c r="E173" s="154" t="s">
        <v>80</v>
      </c>
      <c r="F173" s="252"/>
      <c r="G173" s="311" t="s">
        <v>553</v>
      </c>
      <c r="H173" s="253"/>
      <c r="I173" s="283"/>
      <c r="J173" s="231"/>
      <c r="K173" s="231"/>
      <c r="L173" s="253"/>
      <c r="M173" s="253"/>
      <c r="N173" s="253"/>
      <c r="O173" s="253"/>
      <c r="P173" s="253"/>
      <c r="Q173" s="253"/>
      <c r="R173" s="253"/>
      <c r="S173" s="231"/>
      <c r="T173" s="231"/>
      <c r="U173" s="231"/>
      <c r="V173" s="253"/>
      <c r="W173" s="231"/>
      <c r="X173" s="231"/>
      <c r="Y173" s="231"/>
      <c r="Z173" s="231" t="s">
        <v>78</v>
      </c>
      <c r="AA173" s="254" t="s">
        <v>444</v>
      </c>
      <c r="AB173" s="231"/>
    </row>
    <row r="174" spans="1:28" ht="16.2" customHeight="1" x14ac:dyDescent="0.25">
      <c r="A174" s="231">
        <v>7</v>
      </c>
      <c r="B174" s="251">
        <v>46145</v>
      </c>
      <c r="C174" s="146"/>
      <c r="D174" s="153"/>
      <c r="E174" s="154"/>
      <c r="F174" s="252"/>
      <c r="G174" s="355" t="s">
        <v>312</v>
      </c>
      <c r="H174" s="356"/>
      <c r="I174" s="373"/>
      <c r="J174" s="358"/>
      <c r="K174" s="358">
        <v>2</v>
      </c>
      <c r="L174" s="356" t="s">
        <v>505</v>
      </c>
      <c r="M174" s="356"/>
      <c r="N174" s="356"/>
      <c r="O174" s="356"/>
      <c r="P174" s="356"/>
      <c r="Q174" s="356" t="s">
        <v>78</v>
      </c>
      <c r="R174" s="356"/>
      <c r="S174" s="358"/>
      <c r="T174" s="358">
        <v>70</v>
      </c>
      <c r="U174" s="358"/>
      <c r="V174" s="356"/>
      <c r="W174" s="358">
        <v>8</v>
      </c>
      <c r="X174" s="358"/>
      <c r="Y174" s="358" t="s">
        <v>210</v>
      </c>
      <c r="Z174" s="358"/>
      <c r="AA174" s="359" t="s">
        <v>448</v>
      </c>
      <c r="AB174" s="358" t="s">
        <v>554</v>
      </c>
    </row>
    <row r="175" spans="1:28" ht="16.2" customHeight="1" x14ac:dyDescent="0.25">
      <c r="A175" s="231">
        <v>7</v>
      </c>
      <c r="B175" s="251">
        <v>46145</v>
      </c>
      <c r="C175" s="146"/>
      <c r="D175" s="153"/>
      <c r="E175" s="154"/>
      <c r="F175" s="252"/>
      <c r="G175" s="355" t="s">
        <v>555</v>
      </c>
      <c r="H175" s="356"/>
      <c r="I175" s="373"/>
      <c r="J175" s="358"/>
      <c r="K175" s="358">
        <v>4</v>
      </c>
      <c r="L175" s="356"/>
      <c r="M175" s="356" t="s">
        <v>505</v>
      </c>
      <c r="N175" s="356"/>
      <c r="O175" s="356" t="s">
        <v>304</v>
      </c>
      <c r="P175" s="356" t="s">
        <v>78</v>
      </c>
      <c r="Q175" s="356"/>
      <c r="R175" s="356"/>
      <c r="S175" s="358"/>
      <c r="T175" s="358"/>
      <c r="U175" s="358"/>
      <c r="V175" s="356" t="s">
        <v>82</v>
      </c>
      <c r="W175" s="358">
        <v>14</v>
      </c>
      <c r="X175" s="358"/>
      <c r="Y175" s="358" t="s">
        <v>210</v>
      </c>
      <c r="Z175" s="358"/>
      <c r="AA175" s="359" t="s">
        <v>147</v>
      </c>
      <c r="AB175" s="358" t="s">
        <v>556</v>
      </c>
    </row>
    <row r="176" spans="1:28" ht="16.2" customHeight="1" x14ac:dyDescent="0.25">
      <c r="A176" s="231"/>
      <c r="B176" s="251">
        <v>46145</v>
      </c>
      <c r="C176" s="146"/>
      <c r="D176" s="153"/>
      <c r="E176" s="154"/>
      <c r="F176" s="258">
        <v>45818</v>
      </c>
      <c r="G176" s="260" t="s">
        <v>212</v>
      </c>
      <c r="H176" s="361"/>
      <c r="I176" s="389"/>
      <c r="J176" s="352"/>
      <c r="K176" s="352" t="s">
        <v>551</v>
      </c>
      <c r="L176" s="361"/>
      <c r="M176" s="361"/>
      <c r="N176" s="361"/>
      <c r="O176" s="361"/>
      <c r="P176" s="361"/>
      <c r="Q176" s="361"/>
      <c r="R176" s="361"/>
      <c r="S176" s="352"/>
      <c r="T176" s="352">
        <v>70</v>
      </c>
      <c r="U176" s="352"/>
      <c r="V176" s="361"/>
      <c r="W176" s="352">
        <v>18</v>
      </c>
      <c r="X176" s="352"/>
      <c r="Y176" s="352"/>
      <c r="Z176" s="352"/>
      <c r="AA176" s="353" t="s">
        <v>152</v>
      </c>
      <c r="AB176" s="354" t="s">
        <v>516</v>
      </c>
    </row>
    <row r="177" spans="1:28" ht="16.2" customHeight="1" x14ac:dyDescent="0.25">
      <c r="A177" s="231"/>
      <c r="B177" s="251">
        <v>46145</v>
      </c>
      <c r="C177" s="146"/>
      <c r="D177" s="153"/>
      <c r="E177" s="154"/>
      <c r="F177" s="258">
        <v>45819</v>
      </c>
      <c r="G177" s="260" t="s">
        <v>112</v>
      </c>
      <c r="H177" s="361"/>
      <c r="I177" s="371"/>
      <c r="J177" s="352"/>
      <c r="K177" s="352" t="s">
        <v>87</v>
      </c>
      <c r="L177" s="361"/>
      <c r="M177" s="361"/>
      <c r="N177" s="361"/>
      <c r="O177" s="361"/>
      <c r="P177" s="361"/>
      <c r="Q177" s="361"/>
      <c r="R177" s="361"/>
      <c r="S177" s="352"/>
      <c r="T177" s="352">
        <v>70</v>
      </c>
      <c r="U177" s="352"/>
      <c r="V177" s="361"/>
      <c r="W177" s="352"/>
      <c r="X177" s="352"/>
      <c r="Y177" s="352" t="s">
        <v>207</v>
      </c>
      <c r="Z177" s="352"/>
      <c r="AA177" s="353" t="s">
        <v>151</v>
      </c>
      <c r="AB177" s="354" t="s">
        <v>557</v>
      </c>
    </row>
    <row r="178" spans="1:28" ht="16.2" customHeight="1" x14ac:dyDescent="0.25">
      <c r="A178" s="231"/>
      <c r="B178" s="251">
        <v>46145</v>
      </c>
      <c r="C178" s="146"/>
      <c r="D178" s="153"/>
      <c r="E178" s="154"/>
      <c r="F178" s="258">
        <v>45824</v>
      </c>
      <c r="G178" s="260" t="s">
        <v>84</v>
      </c>
      <c r="H178" s="361"/>
      <c r="I178" s="371"/>
      <c r="J178" s="352"/>
      <c r="K178" s="352" t="s">
        <v>548</v>
      </c>
      <c r="L178" s="361"/>
      <c r="M178" s="361"/>
      <c r="N178" s="361"/>
      <c r="O178" s="361"/>
      <c r="P178" s="361"/>
      <c r="Q178" s="361"/>
      <c r="R178" s="361"/>
      <c r="S178" s="352"/>
      <c r="T178" s="352">
        <v>70</v>
      </c>
      <c r="U178" s="352"/>
      <c r="V178" s="361"/>
      <c r="W178" s="352">
        <v>10</v>
      </c>
      <c r="X178" s="352"/>
      <c r="Y178" s="352" t="s">
        <v>207</v>
      </c>
      <c r="Z178" s="352"/>
      <c r="AA178" s="353" t="s">
        <v>150</v>
      </c>
      <c r="AB178" s="354" t="s">
        <v>250</v>
      </c>
    </row>
    <row r="179" spans="1:28" ht="16.2" customHeight="1" x14ac:dyDescent="0.25">
      <c r="A179" s="231"/>
      <c r="B179" s="251"/>
      <c r="C179" s="146"/>
      <c r="D179" s="153"/>
      <c r="E179" s="154"/>
      <c r="F179" s="258"/>
      <c r="G179" s="139"/>
      <c r="H179" s="253"/>
      <c r="I179" s="283"/>
      <c r="J179" s="231"/>
      <c r="K179" s="231"/>
      <c r="L179" s="253"/>
      <c r="M179" s="253"/>
      <c r="N179" s="253"/>
      <c r="O179" s="253"/>
      <c r="P179" s="253"/>
      <c r="Q179" s="253"/>
      <c r="R179" s="253"/>
      <c r="S179" s="231"/>
      <c r="T179" s="231"/>
      <c r="U179" s="231"/>
      <c r="V179" s="253"/>
      <c r="W179" s="231"/>
      <c r="X179" s="231"/>
      <c r="Y179" s="231"/>
      <c r="Z179" s="231"/>
      <c r="AA179" s="254"/>
      <c r="AB179" s="231"/>
    </row>
    <row r="180" spans="1:28" ht="16.2" customHeight="1" x14ac:dyDescent="0.25">
      <c r="A180" s="231">
        <v>5</v>
      </c>
      <c r="B180" s="251">
        <v>46150</v>
      </c>
      <c r="C180" s="146"/>
      <c r="D180" s="153"/>
      <c r="E180" s="154"/>
      <c r="F180" s="252"/>
      <c r="G180" s="158"/>
      <c r="H180" s="253"/>
      <c r="I180" s="283"/>
      <c r="J180" s="231"/>
      <c r="K180" s="231"/>
      <c r="L180" s="253"/>
      <c r="M180" s="253"/>
      <c r="N180" s="253"/>
      <c r="O180" s="253"/>
      <c r="P180" s="253"/>
      <c r="Q180" s="253"/>
      <c r="R180" s="253"/>
      <c r="S180" s="231"/>
      <c r="T180" s="231"/>
      <c r="U180" s="231"/>
      <c r="V180" s="253"/>
      <c r="W180" s="231"/>
      <c r="X180" s="231"/>
      <c r="Y180" s="231"/>
      <c r="Z180" s="253"/>
      <c r="AA180" s="254"/>
      <c r="AB180" s="231"/>
    </row>
    <row r="181" spans="1:28" ht="16.2" customHeight="1" x14ac:dyDescent="0.25">
      <c r="A181" s="231">
        <v>6</v>
      </c>
      <c r="B181" s="251">
        <v>46151</v>
      </c>
      <c r="C181" s="146"/>
      <c r="D181" s="153"/>
      <c r="E181" s="148"/>
      <c r="F181" s="252"/>
      <c r="G181" s="284" t="s">
        <v>558</v>
      </c>
      <c r="H181" s="253"/>
      <c r="I181" s="283"/>
      <c r="J181" s="231"/>
      <c r="K181" s="231"/>
      <c r="L181" s="253"/>
      <c r="M181" s="253"/>
      <c r="N181" s="253"/>
      <c r="O181" s="253"/>
      <c r="P181" s="253"/>
      <c r="Q181" s="253"/>
      <c r="R181" s="253"/>
      <c r="S181" s="231"/>
      <c r="T181" s="231"/>
      <c r="U181" s="231"/>
      <c r="V181" s="253"/>
      <c r="W181" s="231"/>
      <c r="X181" s="231"/>
      <c r="Y181" s="231"/>
      <c r="Z181" s="231" t="s">
        <v>78</v>
      </c>
      <c r="AA181" s="254" t="s">
        <v>444</v>
      </c>
      <c r="AB181" s="231"/>
    </row>
    <row r="182" spans="1:28" ht="16.2" customHeight="1" x14ac:dyDescent="0.25">
      <c r="A182" s="231">
        <v>6</v>
      </c>
      <c r="B182" s="251">
        <v>46151</v>
      </c>
      <c r="C182" s="146"/>
      <c r="D182" s="153"/>
      <c r="E182" s="148"/>
      <c r="F182" s="252"/>
      <c r="G182" s="372" t="s">
        <v>559</v>
      </c>
      <c r="H182" s="356"/>
      <c r="I182" s="388"/>
      <c r="J182" s="358"/>
      <c r="K182" s="358">
        <v>1</v>
      </c>
      <c r="L182" s="356"/>
      <c r="M182" s="356"/>
      <c r="N182" s="356" t="s">
        <v>78</v>
      </c>
      <c r="O182" s="356"/>
      <c r="P182" s="356"/>
      <c r="Q182" s="356" t="s">
        <v>78</v>
      </c>
      <c r="R182" s="356"/>
      <c r="S182" s="358"/>
      <c r="T182" s="358">
        <v>70</v>
      </c>
      <c r="U182" s="358"/>
      <c r="V182" s="356" t="s">
        <v>171</v>
      </c>
      <c r="W182" s="358">
        <v>12</v>
      </c>
      <c r="X182" s="358"/>
      <c r="Y182" s="358" t="s">
        <v>207</v>
      </c>
      <c r="Z182" s="356"/>
      <c r="AA182" s="359" t="s">
        <v>145</v>
      </c>
      <c r="AB182" s="360" t="s">
        <v>560</v>
      </c>
    </row>
    <row r="183" spans="1:28" ht="16.2" customHeight="1" x14ac:dyDescent="0.25">
      <c r="A183" s="231">
        <v>7</v>
      </c>
      <c r="B183" s="251">
        <v>46152</v>
      </c>
      <c r="C183" s="146"/>
      <c r="D183" s="153"/>
      <c r="E183" s="148"/>
      <c r="F183" s="258">
        <v>45758</v>
      </c>
      <c r="G183" s="372" t="s">
        <v>308</v>
      </c>
      <c r="H183" s="356"/>
      <c r="I183" s="388"/>
      <c r="J183" s="358"/>
      <c r="K183" s="358">
        <v>2</v>
      </c>
      <c r="L183" s="356" t="s">
        <v>505</v>
      </c>
      <c r="M183" s="356"/>
      <c r="N183" s="356"/>
      <c r="O183" s="356"/>
      <c r="P183" s="356"/>
      <c r="Q183" s="356" t="s">
        <v>78</v>
      </c>
      <c r="R183" s="356"/>
      <c r="S183" s="358"/>
      <c r="T183" s="358">
        <v>70</v>
      </c>
      <c r="U183" s="358"/>
      <c r="V183" s="356"/>
      <c r="W183" s="358">
        <v>8</v>
      </c>
      <c r="X183" s="358"/>
      <c r="Y183" s="358" t="s">
        <v>210</v>
      </c>
      <c r="Z183" s="356"/>
      <c r="AA183" s="359" t="s">
        <v>150</v>
      </c>
      <c r="AB183" s="360" t="s">
        <v>461</v>
      </c>
    </row>
    <row r="184" spans="1:28" ht="16.2" customHeight="1" x14ac:dyDescent="0.25">
      <c r="A184" s="231">
        <v>7</v>
      </c>
      <c r="B184" s="251">
        <v>46152</v>
      </c>
      <c r="C184" s="146"/>
      <c r="D184" s="153"/>
      <c r="E184" s="154"/>
      <c r="F184" s="252"/>
      <c r="G184" s="311" t="s">
        <v>561</v>
      </c>
      <c r="H184" s="253"/>
      <c r="I184" s="283"/>
      <c r="J184" s="231"/>
      <c r="K184" s="231"/>
      <c r="L184" s="253"/>
      <c r="M184" s="253"/>
      <c r="N184" s="253"/>
      <c r="O184" s="253"/>
      <c r="P184" s="253"/>
      <c r="Q184" s="253"/>
      <c r="R184" s="253"/>
      <c r="S184" s="231"/>
      <c r="T184" s="231"/>
      <c r="U184" s="231"/>
      <c r="V184" s="253"/>
      <c r="W184" s="231"/>
      <c r="X184" s="231"/>
      <c r="Y184" s="231"/>
      <c r="Z184" s="231" t="s">
        <v>78</v>
      </c>
      <c r="AA184" s="254" t="s">
        <v>444</v>
      </c>
      <c r="AB184" s="231"/>
    </row>
    <row r="185" spans="1:28" ht="16.2" customHeight="1" x14ac:dyDescent="0.25">
      <c r="A185" s="231"/>
      <c r="B185" s="251">
        <v>46152</v>
      </c>
      <c r="C185" s="146"/>
      <c r="D185" s="153"/>
      <c r="E185" s="154"/>
      <c r="F185" s="258">
        <v>45821</v>
      </c>
      <c r="G185" s="260" t="s">
        <v>252</v>
      </c>
      <c r="H185" s="361"/>
      <c r="I185" s="371"/>
      <c r="J185" s="352"/>
      <c r="K185" s="352">
        <v>3</v>
      </c>
      <c r="L185" s="361"/>
      <c r="M185" s="361"/>
      <c r="N185" s="361"/>
      <c r="O185" s="361"/>
      <c r="P185" s="361"/>
      <c r="Q185" s="361"/>
      <c r="R185" s="361"/>
      <c r="S185" s="352"/>
      <c r="T185" s="352">
        <v>70</v>
      </c>
      <c r="U185" s="352"/>
      <c r="V185" s="361"/>
      <c r="W185" s="352">
        <v>9</v>
      </c>
      <c r="X185" s="352"/>
      <c r="Y185" s="352" t="s">
        <v>210</v>
      </c>
      <c r="Z185" s="352"/>
      <c r="AA185" s="353" t="s">
        <v>445</v>
      </c>
      <c r="AB185" s="354" t="s">
        <v>313</v>
      </c>
    </row>
    <row r="186" spans="1:28" ht="16.2" customHeight="1" x14ac:dyDescent="0.25">
      <c r="A186" s="231"/>
      <c r="B186" s="251"/>
      <c r="C186" s="146"/>
      <c r="D186" s="153"/>
      <c r="E186" s="154"/>
      <c r="F186" s="258"/>
      <c r="G186" s="264"/>
      <c r="H186" s="299"/>
      <c r="I186" s="300"/>
      <c r="J186" s="301"/>
      <c r="K186" s="301"/>
      <c r="L186" s="299"/>
      <c r="M186" s="299"/>
      <c r="N186" s="299"/>
      <c r="O186" s="299"/>
      <c r="P186" s="299"/>
      <c r="Q186" s="299"/>
      <c r="R186" s="299"/>
      <c r="S186" s="301"/>
      <c r="T186" s="301"/>
      <c r="U186" s="301"/>
      <c r="V186" s="299"/>
      <c r="W186" s="301"/>
      <c r="X186" s="301"/>
      <c r="Y186" s="301"/>
      <c r="Z186" s="301"/>
      <c r="AA186" s="302"/>
      <c r="AB186" s="301"/>
    </row>
    <row r="187" spans="1:28" ht="16.2" customHeight="1" x14ac:dyDescent="0.25">
      <c r="A187" s="231"/>
      <c r="B187" s="251">
        <v>46156</v>
      </c>
      <c r="C187" s="146"/>
      <c r="D187" s="153"/>
      <c r="E187" s="154"/>
      <c r="F187" s="258">
        <v>45821</v>
      </c>
      <c r="G187" s="260" t="s">
        <v>251</v>
      </c>
      <c r="H187" s="361"/>
      <c r="I187" s="371"/>
      <c r="J187" s="352" t="s">
        <v>78</v>
      </c>
      <c r="K187" s="352">
        <v>2</v>
      </c>
      <c r="L187" s="361"/>
      <c r="M187" s="361"/>
      <c r="N187" s="361"/>
      <c r="O187" s="361"/>
      <c r="P187" s="361"/>
      <c r="Q187" s="361"/>
      <c r="R187" s="361"/>
      <c r="S187" s="352"/>
      <c r="T187" s="352">
        <v>70</v>
      </c>
      <c r="U187" s="352"/>
      <c r="V187" s="361"/>
      <c r="W187" s="352">
        <v>9</v>
      </c>
      <c r="X187" s="352"/>
      <c r="Y187" s="352" t="s">
        <v>210</v>
      </c>
      <c r="Z187" s="352"/>
      <c r="AA187" s="353" t="s">
        <v>445</v>
      </c>
      <c r="AB187" s="354" t="s">
        <v>562</v>
      </c>
    </row>
    <row r="188" spans="1:28" ht="16.2" customHeight="1" x14ac:dyDescent="0.25">
      <c r="A188" s="231"/>
      <c r="B188" s="251">
        <v>46156</v>
      </c>
      <c r="C188" s="146"/>
      <c r="D188" s="153"/>
      <c r="E188" s="154"/>
      <c r="F188" s="258">
        <v>45821</v>
      </c>
      <c r="G188" s="260" t="s">
        <v>154</v>
      </c>
      <c r="H188" s="361"/>
      <c r="I188" s="371"/>
      <c r="J188" s="352" t="s">
        <v>78</v>
      </c>
      <c r="K188" s="352">
        <v>3</v>
      </c>
      <c r="L188" s="361"/>
      <c r="M188" s="361"/>
      <c r="N188" s="361"/>
      <c r="O188" s="361"/>
      <c r="P188" s="361"/>
      <c r="Q188" s="361"/>
      <c r="R188" s="361"/>
      <c r="S188" s="352"/>
      <c r="T188" s="352">
        <v>70</v>
      </c>
      <c r="U188" s="352"/>
      <c r="V188" s="361"/>
      <c r="W188" s="352">
        <v>11</v>
      </c>
      <c r="X188" s="352"/>
      <c r="Y188" s="352" t="s">
        <v>207</v>
      </c>
      <c r="Z188" s="352"/>
      <c r="AA188" s="353" t="s">
        <v>445</v>
      </c>
      <c r="AB188" s="354" t="s">
        <v>563</v>
      </c>
    </row>
    <row r="189" spans="1:28" ht="16.2" customHeight="1" x14ac:dyDescent="0.25">
      <c r="A189" s="231">
        <v>4</v>
      </c>
      <c r="B189" s="251"/>
      <c r="C189" s="146"/>
      <c r="D189" s="153"/>
      <c r="E189" s="154"/>
      <c r="F189" s="252"/>
      <c r="G189" s="158"/>
      <c r="H189" s="253"/>
      <c r="I189" s="283" t="s">
        <v>564</v>
      </c>
      <c r="J189" s="231"/>
      <c r="K189" s="231"/>
      <c r="L189" s="253"/>
      <c r="M189" s="253"/>
      <c r="N189" s="253"/>
      <c r="O189" s="253"/>
      <c r="P189" s="253"/>
      <c r="Q189" s="253"/>
      <c r="R189" s="253"/>
      <c r="S189" s="231"/>
      <c r="T189" s="231"/>
      <c r="U189" s="231"/>
      <c r="V189" s="253"/>
      <c r="W189" s="231"/>
      <c r="X189" s="231"/>
      <c r="Y189" s="231"/>
      <c r="Z189" s="253"/>
      <c r="AA189" s="254"/>
      <c r="AB189" s="231"/>
    </row>
    <row r="190" spans="1:28" ht="16.2" customHeight="1" x14ac:dyDescent="0.25">
      <c r="A190" s="231"/>
      <c r="B190" s="251"/>
      <c r="C190" s="146"/>
      <c r="D190" s="153"/>
      <c r="E190" s="154"/>
      <c r="F190" s="252"/>
      <c r="G190" s="158"/>
      <c r="H190" s="253"/>
      <c r="I190" s="283" t="s">
        <v>565</v>
      </c>
      <c r="J190" s="231"/>
      <c r="K190" s="231"/>
      <c r="L190" s="253"/>
      <c r="M190" s="253"/>
      <c r="N190" s="253"/>
      <c r="O190" s="253"/>
      <c r="P190" s="253"/>
      <c r="Q190" s="253"/>
      <c r="R190" s="253"/>
      <c r="S190" s="231"/>
      <c r="T190" s="231"/>
      <c r="U190" s="231"/>
      <c r="V190" s="253"/>
      <c r="W190" s="231"/>
      <c r="X190" s="231"/>
      <c r="Y190" s="231"/>
      <c r="Z190" s="253"/>
      <c r="AA190" s="254"/>
      <c r="AB190" s="231"/>
    </row>
    <row r="191" spans="1:28" ht="16.2" customHeight="1" x14ac:dyDescent="0.25">
      <c r="A191" s="231">
        <v>7</v>
      </c>
      <c r="B191" s="251">
        <v>46159</v>
      </c>
      <c r="C191" s="146"/>
      <c r="D191" s="153"/>
      <c r="E191" s="148"/>
      <c r="F191" s="258">
        <v>45810</v>
      </c>
      <c r="G191" s="350" t="s">
        <v>95</v>
      </c>
      <c r="H191" s="361"/>
      <c r="I191" s="389"/>
      <c r="J191" s="352"/>
      <c r="K191" s="375" t="s">
        <v>215</v>
      </c>
      <c r="L191" s="361"/>
      <c r="M191" s="361"/>
      <c r="N191" s="361"/>
      <c r="O191" s="361"/>
      <c r="P191" s="361"/>
      <c r="Q191" s="361"/>
      <c r="R191" s="361" t="s">
        <v>78</v>
      </c>
      <c r="S191" s="352"/>
      <c r="T191" s="352">
        <v>70</v>
      </c>
      <c r="U191" s="352"/>
      <c r="V191" s="361"/>
      <c r="W191" s="352"/>
      <c r="X191" s="352"/>
      <c r="Y191" s="352"/>
      <c r="Z191" s="361"/>
      <c r="AA191" s="353" t="s">
        <v>146</v>
      </c>
      <c r="AB191" s="354" t="s">
        <v>496</v>
      </c>
    </row>
    <row r="192" spans="1:28" ht="16.2" customHeight="1" x14ac:dyDescent="0.25">
      <c r="A192" s="231"/>
      <c r="B192" s="251">
        <v>46159</v>
      </c>
      <c r="C192" s="140"/>
      <c r="D192" s="141"/>
      <c r="E192" s="145"/>
      <c r="F192" s="258">
        <v>45810</v>
      </c>
      <c r="G192" s="350" t="s">
        <v>105</v>
      </c>
      <c r="H192" s="361"/>
      <c r="I192" s="371"/>
      <c r="J192" s="352"/>
      <c r="K192" s="352">
        <v>2</v>
      </c>
      <c r="L192" s="361"/>
      <c r="M192" s="361"/>
      <c r="N192" s="361"/>
      <c r="O192" s="361"/>
      <c r="P192" s="361"/>
      <c r="Q192" s="361"/>
      <c r="R192" s="361"/>
      <c r="S192" s="352"/>
      <c r="T192" s="352">
        <v>80</v>
      </c>
      <c r="U192" s="352"/>
      <c r="V192" s="361"/>
      <c r="W192" s="352">
        <v>8</v>
      </c>
      <c r="X192" s="352"/>
      <c r="Y192" s="352" t="s">
        <v>210</v>
      </c>
      <c r="Z192" s="361"/>
      <c r="AA192" s="353" t="s">
        <v>477</v>
      </c>
      <c r="AB192" s="354" t="s">
        <v>253</v>
      </c>
    </row>
    <row r="193" spans="1:28" ht="16.2" customHeight="1" x14ac:dyDescent="0.25">
      <c r="A193" s="231"/>
      <c r="B193" s="251">
        <v>46159</v>
      </c>
      <c r="C193" s="140"/>
      <c r="D193" s="141"/>
      <c r="E193" s="145"/>
      <c r="F193" s="258">
        <v>45811</v>
      </c>
      <c r="G193" s="350" t="s">
        <v>460</v>
      </c>
      <c r="H193" s="361"/>
      <c r="I193" s="371"/>
      <c r="J193" s="352"/>
      <c r="K193" s="352">
        <v>5</v>
      </c>
      <c r="L193" s="361"/>
      <c r="M193" s="361"/>
      <c r="N193" s="361"/>
      <c r="O193" s="361"/>
      <c r="P193" s="361"/>
      <c r="Q193" s="361"/>
      <c r="R193" s="361"/>
      <c r="S193" s="352"/>
      <c r="T193" s="352">
        <v>70</v>
      </c>
      <c r="U193" s="352"/>
      <c r="V193" s="361"/>
      <c r="W193" s="352"/>
      <c r="X193" s="352"/>
      <c r="Y193" s="352"/>
      <c r="Z193" s="361"/>
      <c r="AA193" s="353" t="s">
        <v>149</v>
      </c>
      <c r="AB193" s="354" t="s">
        <v>305</v>
      </c>
    </row>
    <row r="194" spans="1:28" ht="16.2" customHeight="1" x14ac:dyDescent="0.25">
      <c r="A194" s="231"/>
      <c r="B194" s="251">
        <v>46159</v>
      </c>
      <c r="C194" s="140"/>
      <c r="D194" s="141"/>
      <c r="E194" s="145"/>
      <c r="F194" s="258">
        <v>45819</v>
      </c>
      <c r="G194" s="350" t="s">
        <v>566</v>
      </c>
      <c r="H194" s="361"/>
      <c r="I194" s="371"/>
      <c r="J194" s="352"/>
      <c r="K194" s="352">
        <v>2</v>
      </c>
      <c r="L194" s="361"/>
      <c r="M194" s="361"/>
      <c r="N194" s="361"/>
      <c r="O194" s="361"/>
      <c r="P194" s="361"/>
      <c r="Q194" s="361"/>
      <c r="R194" s="361"/>
      <c r="S194" s="352"/>
      <c r="T194" s="352">
        <v>70</v>
      </c>
      <c r="U194" s="352"/>
      <c r="V194" s="361"/>
      <c r="W194" s="352"/>
      <c r="X194" s="352"/>
      <c r="Y194" s="352" t="s">
        <v>210</v>
      </c>
      <c r="Z194" s="361"/>
      <c r="AA194" s="353" t="s">
        <v>151</v>
      </c>
      <c r="AB194" s="354" t="s">
        <v>567</v>
      </c>
    </row>
    <row r="195" spans="1:28" ht="16.2" customHeight="1" x14ac:dyDescent="0.25">
      <c r="A195" s="231"/>
      <c r="B195" s="251">
        <v>46159</v>
      </c>
      <c r="C195" s="140"/>
      <c r="D195" s="141"/>
      <c r="E195" s="145"/>
      <c r="F195" s="258">
        <v>45820</v>
      </c>
      <c r="G195" s="350" t="s">
        <v>86</v>
      </c>
      <c r="H195" s="361"/>
      <c r="I195" s="371"/>
      <c r="J195" s="352"/>
      <c r="K195" s="352" t="s">
        <v>500</v>
      </c>
      <c r="L195" s="361"/>
      <c r="M195" s="361"/>
      <c r="N195" s="361"/>
      <c r="O195" s="361"/>
      <c r="P195" s="361"/>
      <c r="Q195" s="361"/>
      <c r="R195" s="361"/>
      <c r="S195" s="352"/>
      <c r="T195" s="352">
        <v>70</v>
      </c>
      <c r="U195" s="352"/>
      <c r="V195" s="361"/>
      <c r="W195" s="352"/>
      <c r="X195" s="352"/>
      <c r="Y195" s="352" t="s">
        <v>207</v>
      </c>
      <c r="Z195" s="361"/>
      <c r="AA195" s="353" t="s">
        <v>148</v>
      </c>
      <c r="AB195" s="354" t="s">
        <v>245</v>
      </c>
    </row>
    <row r="196" spans="1:28" ht="16.2" customHeight="1" x14ac:dyDescent="0.25">
      <c r="A196" s="231"/>
      <c r="B196" s="251">
        <v>46159</v>
      </c>
      <c r="C196" s="140"/>
      <c r="D196" s="141"/>
      <c r="E196" s="145"/>
      <c r="F196" s="258">
        <v>45821</v>
      </c>
      <c r="G196" s="350" t="s">
        <v>243</v>
      </c>
      <c r="H196" s="361"/>
      <c r="I196" s="371"/>
      <c r="J196" s="352"/>
      <c r="K196" s="352" t="s">
        <v>81</v>
      </c>
      <c r="L196" s="361"/>
      <c r="M196" s="361"/>
      <c r="N196" s="361"/>
      <c r="O196" s="361"/>
      <c r="P196" s="361"/>
      <c r="Q196" s="361"/>
      <c r="R196" s="361"/>
      <c r="S196" s="352"/>
      <c r="T196" s="352">
        <v>80</v>
      </c>
      <c r="U196" s="352"/>
      <c r="V196" s="361"/>
      <c r="W196" s="352">
        <v>15</v>
      </c>
      <c r="X196" s="352"/>
      <c r="Y196" s="352" t="s">
        <v>207</v>
      </c>
      <c r="Z196" s="361"/>
      <c r="AA196" s="353" t="s">
        <v>147</v>
      </c>
      <c r="AB196" s="354" t="s">
        <v>509</v>
      </c>
    </row>
    <row r="197" spans="1:28" ht="16.2" customHeight="1" x14ac:dyDescent="0.25">
      <c r="A197" s="231"/>
      <c r="B197" s="251">
        <v>46159</v>
      </c>
      <c r="C197" s="140"/>
      <c r="D197" s="141"/>
      <c r="E197" s="145"/>
      <c r="F197" s="258">
        <v>45821</v>
      </c>
      <c r="G197" s="350" t="s">
        <v>447</v>
      </c>
      <c r="H197" s="361"/>
      <c r="I197" s="371"/>
      <c r="J197" s="352" t="s">
        <v>78</v>
      </c>
      <c r="K197" s="352">
        <v>3</v>
      </c>
      <c r="L197" s="361"/>
      <c r="M197" s="361"/>
      <c r="N197" s="361"/>
      <c r="O197" s="361"/>
      <c r="P197" s="361"/>
      <c r="Q197" s="361"/>
      <c r="R197" s="361"/>
      <c r="S197" s="352"/>
      <c r="T197" s="352">
        <v>70</v>
      </c>
      <c r="U197" s="352"/>
      <c r="V197" s="361"/>
      <c r="W197" s="352">
        <v>11</v>
      </c>
      <c r="X197" s="352"/>
      <c r="Y197" s="352" t="s">
        <v>207</v>
      </c>
      <c r="Z197" s="361"/>
      <c r="AA197" s="353" t="s">
        <v>448</v>
      </c>
      <c r="AB197" s="354" t="s">
        <v>528</v>
      </c>
    </row>
    <row r="198" spans="1:28" ht="16.2" customHeight="1" x14ac:dyDescent="0.25">
      <c r="A198" s="231"/>
      <c r="B198" s="251">
        <v>46159</v>
      </c>
      <c r="C198" s="140"/>
      <c r="D198" s="141"/>
      <c r="E198" s="145"/>
      <c r="F198" s="258">
        <v>45824</v>
      </c>
      <c r="G198" s="350" t="s">
        <v>84</v>
      </c>
      <c r="H198" s="361"/>
      <c r="I198" s="371"/>
      <c r="J198" s="352"/>
      <c r="K198" s="352" t="s">
        <v>311</v>
      </c>
      <c r="L198" s="361"/>
      <c r="M198" s="361"/>
      <c r="N198" s="361"/>
      <c r="O198" s="361"/>
      <c r="P198" s="361"/>
      <c r="Q198" s="361"/>
      <c r="R198" s="361"/>
      <c r="S198" s="352"/>
      <c r="T198" s="352">
        <v>70</v>
      </c>
      <c r="U198" s="352"/>
      <c r="V198" s="361"/>
      <c r="W198" s="352">
        <v>13</v>
      </c>
      <c r="X198" s="352"/>
      <c r="Y198" s="352" t="s">
        <v>210</v>
      </c>
      <c r="Z198" s="361"/>
      <c r="AA198" s="353" t="s">
        <v>150</v>
      </c>
      <c r="AB198" s="354" t="s">
        <v>244</v>
      </c>
    </row>
    <row r="199" spans="1:28" ht="16.2" customHeight="1" x14ac:dyDescent="0.25">
      <c r="A199" s="231"/>
      <c r="B199" s="251"/>
      <c r="C199" s="140"/>
      <c r="D199" s="141"/>
      <c r="E199" s="145"/>
      <c r="F199" s="252"/>
      <c r="G199" s="158"/>
      <c r="H199" s="253"/>
      <c r="I199" s="283"/>
      <c r="J199" s="231"/>
      <c r="K199" s="231"/>
      <c r="L199" s="253"/>
      <c r="M199" s="253"/>
      <c r="N199" s="253"/>
      <c r="O199" s="253"/>
      <c r="P199" s="253"/>
      <c r="Q199" s="253"/>
      <c r="R199" s="253"/>
      <c r="S199" s="231"/>
      <c r="T199" s="231"/>
      <c r="U199" s="231"/>
      <c r="V199" s="253"/>
      <c r="W199" s="231"/>
      <c r="X199" s="231"/>
      <c r="Y199" s="231"/>
      <c r="Z199" s="253"/>
      <c r="AA199" s="254"/>
      <c r="AB199" s="231"/>
    </row>
    <row r="200" spans="1:28" ht="16.2" customHeight="1" x14ac:dyDescent="0.25">
      <c r="A200" s="231"/>
      <c r="B200" s="251">
        <v>46166</v>
      </c>
      <c r="C200" s="140"/>
      <c r="D200" s="141"/>
      <c r="E200" s="145"/>
      <c r="F200" s="258">
        <v>45818</v>
      </c>
      <c r="G200" s="350" t="s">
        <v>206</v>
      </c>
      <c r="H200" s="361"/>
      <c r="I200" s="371"/>
      <c r="J200" s="352"/>
      <c r="K200" s="352">
        <v>2</v>
      </c>
      <c r="L200" s="361"/>
      <c r="M200" s="361"/>
      <c r="N200" s="361"/>
      <c r="O200" s="361"/>
      <c r="P200" s="361"/>
      <c r="Q200" s="361"/>
      <c r="R200" s="361"/>
      <c r="S200" s="352"/>
      <c r="T200" s="352">
        <v>70</v>
      </c>
      <c r="U200" s="352"/>
      <c r="V200" s="361"/>
      <c r="W200" s="352"/>
      <c r="X200" s="352"/>
      <c r="Y200" s="352" t="s">
        <v>210</v>
      </c>
      <c r="Z200" s="361"/>
      <c r="AA200" s="353" t="s">
        <v>149</v>
      </c>
      <c r="AB200" s="354" t="s">
        <v>299</v>
      </c>
    </row>
    <row r="201" spans="1:28" ht="16.2" customHeight="1" x14ac:dyDescent="0.25">
      <c r="A201" s="231"/>
      <c r="B201" s="251">
        <v>46166</v>
      </c>
      <c r="C201" s="140"/>
      <c r="D201" s="141"/>
      <c r="E201" s="145"/>
      <c r="F201" s="258">
        <v>45821</v>
      </c>
      <c r="G201" s="350" t="s">
        <v>246</v>
      </c>
      <c r="H201" s="361"/>
      <c r="I201" s="371"/>
      <c r="J201" s="352"/>
      <c r="K201" s="352">
        <v>2</v>
      </c>
      <c r="L201" s="361"/>
      <c r="M201" s="361"/>
      <c r="N201" s="361"/>
      <c r="O201" s="361"/>
      <c r="P201" s="361"/>
      <c r="Q201" s="361"/>
      <c r="R201" s="361"/>
      <c r="S201" s="352"/>
      <c r="T201" s="352">
        <v>70</v>
      </c>
      <c r="U201" s="352"/>
      <c r="V201" s="361"/>
      <c r="W201" s="352">
        <v>13</v>
      </c>
      <c r="X201" s="352"/>
      <c r="Y201" s="352" t="s">
        <v>210</v>
      </c>
      <c r="Z201" s="361"/>
      <c r="AA201" s="353" t="s">
        <v>147</v>
      </c>
      <c r="AB201" s="354" t="s">
        <v>247</v>
      </c>
    </row>
    <row r="202" spans="1:28" ht="16.2" customHeight="1" x14ac:dyDescent="0.25">
      <c r="A202" s="231"/>
      <c r="B202" s="251">
        <v>46166</v>
      </c>
      <c r="C202" s="140"/>
      <c r="D202" s="141"/>
      <c r="E202" s="145"/>
      <c r="F202" s="258">
        <v>45821</v>
      </c>
      <c r="G202" s="350" t="s">
        <v>83</v>
      </c>
      <c r="H202" s="361"/>
      <c r="I202" s="371"/>
      <c r="J202" s="352"/>
      <c r="K202" s="352">
        <v>2</v>
      </c>
      <c r="L202" s="361"/>
      <c r="M202" s="361"/>
      <c r="N202" s="361"/>
      <c r="O202" s="361"/>
      <c r="P202" s="361"/>
      <c r="Q202" s="361"/>
      <c r="R202" s="361"/>
      <c r="S202" s="352"/>
      <c r="T202" s="352">
        <v>70</v>
      </c>
      <c r="U202" s="352"/>
      <c r="V202" s="361"/>
      <c r="W202" s="352">
        <v>9</v>
      </c>
      <c r="X202" s="352"/>
      <c r="Y202" s="352" t="s">
        <v>210</v>
      </c>
      <c r="Z202" s="361"/>
      <c r="AA202" s="353" t="s">
        <v>445</v>
      </c>
      <c r="AB202" s="354" t="s">
        <v>543</v>
      </c>
    </row>
    <row r="203" spans="1:28" ht="16.2" customHeight="1" x14ac:dyDescent="0.25">
      <c r="A203" s="231">
        <v>7</v>
      </c>
      <c r="B203" s="251">
        <v>46166</v>
      </c>
      <c r="C203" s="146"/>
      <c r="D203" s="153"/>
      <c r="E203" s="148"/>
      <c r="F203" s="258">
        <v>45777</v>
      </c>
      <c r="G203" s="372" t="s">
        <v>450</v>
      </c>
      <c r="H203" s="356"/>
      <c r="I203" s="373"/>
      <c r="J203" s="358"/>
      <c r="K203" s="358">
        <v>1</v>
      </c>
      <c r="L203" s="356"/>
      <c r="M203" s="356"/>
      <c r="N203" s="356"/>
      <c r="O203" s="356"/>
      <c r="P203" s="356"/>
      <c r="Q203" s="356"/>
      <c r="R203" s="356"/>
      <c r="S203" s="358" t="s">
        <v>568</v>
      </c>
      <c r="T203" s="358"/>
      <c r="U203" s="358"/>
      <c r="V203" s="356"/>
      <c r="W203" s="358">
        <v>12</v>
      </c>
      <c r="X203" s="358"/>
      <c r="Y203" s="358" t="s">
        <v>210</v>
      </c>
      <c r="Z203" s="356"/>
      <c r="AA203" s="359" t="s">
        <v>150</v>
      </c>
      <c r="AB203" s="360" t="s">
        <v>241</v>
      </c>
    </row>
    <row r="204" spans="1:28" ht="16.2" customHeight="1" x14ac:dyDescent="0.25">
      <c r="A204" s="231">
        <v>1</v>
      </c>
      <c r="B204" s="251">
        <v>46167</v>
      </c>
      <c r="C204" s="146"/>
      <c r="D204" s="153"/>
      <c r="E204" s="148"/>
      <c r="F204" s="252"/>
      <c r="G204" s="372" t="s">
        <v>569</v>
      </c>
      <c r="H204" s="356"/>
      <c r="I204" s="388"/>
      <c r="J204" s="358"/>
      <c r="K204" s="358">
        <v>1</v>
      </c>
      <c r="L204" s="356" t="s">
        <v>78</v>
      </c>
      <c r="M204" s="356"/>
      <c r="N204" s="356"/>
      <c r="O204" s="356" t="s">
        <v>304</v>
      </c>
      <c r="P204" s="356"/>
      <c r="Q204" s="356"/>
      <c r="R204" s="356"/>
      <c r="S204" s="358"/>
      <c r="T204" s="358"/>
      <c r="U204" s="358"/>
      <c r="V204" s="356" t="s">
        <v>15</v>
      </c>
      <c r="W204" s="358">
        <v>8</v>
      </c>
      <c r="X204" s="358"/>
      <c r="Y204" s="358" t="s">
        <v>210</v>
      </c>
      <c r="Z204" s="356"/>
      <c r="AA204" s="359" t="s">
        <v>146</v>
      </c>
      <c r="AB204" s="360" t="s">
        <v>310</v>
      </c>
    </row>
    <row r="205" spans="1:28" ht="16.2" customHeight="1" x14ac:dyDescent="0.25">
      <c r="A205" s="231">
        <v>1</v>
      </c>
      <c r="B205" s="251">
        <v>46167</v>
      </c>
      <c r="C205" s="146"/>
      <c r="D205" s="153"/>
      <c r="E205" s="148"/>
      <c r="F205" s="252"/>
      <c r="G205" s="372" t="s">
        <v>570</v>
      </c>
      <c r="H205" s="356"/>
      <c r="I205" s="388"/>
      <c r="J205" s="358"/>
      <c r="K205" s="358">
        <v>1</v>
      </c>
      <c r="L205" s="356"/>
      <c r="M205" s="356"/>
      <c r="N205" s="356" t="s">
        <v>78</v>
      </c>
      <c r="O205" s="356" t="s">
        <v>242</v>
      </c>
      <c r="P205" s="356" t="s">
        <v>78</v>
      </c>
      <c r="Q205" s="356"/>
      <c r="R205" s="356"/>
      <c r="S205" s="358"/>
      <c r="T205" s="358"/>
      <c r="U205" s="358"/>
      <c r="V205" s="356" t="s">
        <v>171</v>
      </c>
      <c r="W205" s="358">
        <v>12</v>
      </c>
      <c r="X205" s="358"/>
      <c r="Y205" s="358" t="s">
        <v>210</v>
      </c>
      <c r="Z205" s="356"/>
      <c r="AA205" s="359" t="s">
        <v>147</v>
      </c>
      <c r="AB205" s="360" t="s">
        <v>506</v>
      </c>
    </row>
    <row r="206" spans="1:28" ht="16.2" customHeight="1" x14ac:dyDescent="0.25">
      <c r="A206" s="231"/>
      <c r="B206" s="251">
        <v>46167</v>
      </c>
      <c r="C206" s="146"/>
      <c r="D206" s="153"/>
      <c r="E206" s="148"/>
      <c r="F206" s="258">
        <v>45819</v>
      </c>
      <c r="G206" s="350" t="s">
        <v>153</v>
      </c>
      <c r="H206" s="361"/>
      <c r="I206" s="371"/>
      <c r="J206" s="352"/>
      <c r="K206" s="352">
        <v>4</v>
      </c>
      <c r="L206" s="361"/>
      <c r="M206" s="361"/>
      <c r="N206" s="361"/>
      <c r="O206" s="361"/>
      <c r="P206" s="361"/>
      <c r="Q206" s="361"/>
      <c r="R206" s="361"/>
      <c r="S206" s="352"/>
      <c r="T206" s="352">
        <v>70</v>
      </c>
      <c r="U206" s="352"/>
      <c r="V206" s="361"/>
      <c r="W206" s="352">
        <v>15</v>
      </c>
      <c r="X206" s="352"/>
      <c r="Y206" s="352"/>
      <c r="Z206" s="361"/>
      <c r="AA206" s="353" t="s">
        <v>151</v>
      </c>
      <c r="AB206" s="354" t="s">
        <v>498</v>
      </c>
    </row>
    <row r="207" spans="1:28" ht="16.2" customHeight="1" x14ac:dyDescent="0.25">
      <c r="A207" s="231"/>
      <c r="B207" s="251"/>
      <c r="C207" s="146"/>
      <c r="D207" s="153"/>
      <c r="E207" s="148"/>
      <c r="F207" s="252"/>
      <c r="G207" s="158"/>
      <c r="H207" s="253"/>
      <c r="I207" s="283"/>
      <c r="J207" s="231"/>
      <c r="K207" s="231"/>
      <c r="L207" s="253"/>
      <c r="M207" s="253"/>
      <c r="N207" s="253"/>
      <c r="O207" s="253"/>
      <c r="P207" s="253"/>
      <c r="Q207" s="253"/>
      <c r="R207" s="253"/>
      <c r="S207" s="231"/>
      <c r="T207" s="231"/>
      <c r="U207" s="231"/>
      <c r="V207" s="253"/>
      <c r="W207" s="231"/>
      <c r="X207" s="231"/>
      <c r="Y207" s="231"/>
      <c r="Z207" s="253"/>
      <c r="AA207" s="254"/>
      <c r="AB207" s="231"/>
    </row>
    <row r="208" spans="1:28" ht="16.2" customHeight="1" x14ac:dyDescent="0.25">
      <c r="A208" s="231">
        <v>7</v>
      </c>
      <c r="B208" s="251">
        <v>46173</v>
      </c>
      <c r="C208" s="146"/>
      <c r="D208" s="153"/>
      <c r="E208" s="148"/>
      <c r="F208" s="252"/>
      <c r="G208" s="261" t="s">
        <v>571</v>
      </c>
      <c r="H208" s="253"/>
      <c r="I208" s="283"/>
      <c r="J208" s="231"/>
      <c r="K208" s="231"/>
      <c r="L208" s="253"/>
      <c r="M208" s="253"/>
      <c r="N208" s="253"/>
      <c r="O208" s="253"/>
      <c r="P208" s="253"/>
      <c r="Q208" s="253"/>
      <c r="R208" s="253"/>
      <c r="S208" s="231"/>
      <c r="T208" s="231"/>
      <c r="U208" s="231"/>
      <c r="V208" s="253"/>
      <c r="W208" s="231"/>
      <c r="X208" s="231"/>
      <c r="Y208" s="231"/>
      <c r="Z208" s="231" t="s">
        <v>78</v>
      </c>
      <c r="AA208" s="254" t="s">
        <v>444</v>
      </c>
      <c r="AB208" s="231"/>
    </row>
    <row r="209" spans="1:28" ht="16.2" customHeight="1" x14ac:dyDescent="0.25">
      <c r="A209" s="231"/>
      <c r="B209" s="251">
        <v>46173</v>
      </c>
      <c r="C209" s="146"/>
      <c r="D209" s="153"/>
      <c r="E209" s="148"/>
      <c r="F209" s="252"/>
      <c r="G209" s="262" t="s">
        <v>572</v>
      </c>
      <c r="H209" s="253"/>
      <c r="I209" s="283"/>
      <c r="J209" s="231"/>
      <c r="K209" s="231"/>
      <c r="L209" s="253"/>
      <c r="M209" s="253"/>
      <c r="N209" s="253"/>
      <c r="O209" s="253"/>
      <c r="P209" s="253"/>
      <c r="Q209" s="253"/>
      <c r="R209" s="253"/>
      <c r="S209" s="231"/>
      <c r="T209" s="231"/>
      <c r="U209" s="231"/>
      <c r="V209" s="253"/>
      <c r="W209" s="231"/>
      <c r="X209" s="231"/>
      <c r="Y209" s="231"/>
      <c r="Z209" s="231" t="s">
        <v>78</v>
      </c>
      <c r="AA209" s="254" t="s">
        <v>444</v>
      </c>
      <c r="AB209" s="231"/>
    </row>
    <row r="210" spans="1:28" ht="16.2" customHeight="1" x14ac:dyDescent="0.25">
      <c r="A210" s="231"/>
      <c r="B210" s="251">
        <v>46173</v>
      </c>
      <c r="C210" s="146"/>
      <c r="D210" s="153"/>
      <c r="E210" s="148"/>
      <c r="F210" s="258">
        <v>45824</v>
      </c>
      <c r="G210" s="260" t="s">
        <v>450</v>
      </c>
      <c r="H210" s="361"/>
      <c r="I210" s="371"/>
      <c r="J210" s="352"/>
      <c r="K210" s="352">
        <v>2</v>
      </c>
      <c r="L210" s="361"/>
      <c r="M210" s="361"/>
      <c r="N210" s="361"/>
      <c r="O210" s="361"/>
      <c r="P210" s="361"/>
      <c r="Q210" s="361"/>
      <c r="R210" s="361"/>
      <c r="S210" s="352"/>
      <c r="T210" s="352">
        <v>70</v>
      </c>
      <c r="U210" s="352" t="s">
        <v>171</v>
      </c>
      <c r="V210" s="361"/>
      <c r="W210" s="352">
        <v>6</v>
      </c>
      <c r="X210" s="352"/>
      <c r="Y210" s="352" t="s">
        <v>210</v>
      </c>
      <c r="Z210" s="352"/>
      <c r="AA210" s="353" t="s">
        <v>150</v>
      </c>
      <c r="AB210" s="354" t="s">
        <v>303</v>
      </c>
    </row>
    <row r="211" spans="1:28" ht="16.2" customHeight="1" x14ac:dyDescent="0.25">
      <c r="A211" s="231"/>
      <c r="B211" s="251"/>
      <c r="C211" s="146"/>
      <c r="D211" s="153"/>
      <c r="E211" s="148"/>
      <c r="F211" s="252"/>
      <c r="G211" s="139"/>
      <c r="H211" s="253"/>
      <c r="I211" s="283"/>
      <c r="J211" s="231"/>
      <c r="K211" s="231"/>
      <c r="L211" s="253"/>
      <c r="M211" s="253"/>
      <c r="N211" s="253"/>
      <c r="O211" s="253"/>
      <c r="P211" s="253"/>
      <c r="Q211" s="253"/>
      <c r="R211" s="253"/>
      <c r="S211" s="231"/>
      <c r="T211" s="231"/>
      <c r="U211" s="231"/>
      <c r="V211" s="253"/>
      <c r="W211" s="231"/>
      <c r="X211" s="231"/>
      <c r="Y211" s="231"/>
      <c r="Z211" s="231"/>
      <c r="AA211" s="254"/>
      <c r="AB211" s="231"/>
    </row>
    <row r="212" spans="1:28" ht="30.75" customHeight="1" x14ac:dyDescent="0.25">
      <c r="A212" s="255"/>
      <c r="B212" s="256"/>
      <c r="C212" s="413" t="s">
        <v>573</v>
      </c>
      <c r="D212" s="426"/>
      <c r="E212" s="426"/>
      <c r="F212" s="426"/>
      <c r="G212" s="426"/>
      <c r="H212" s="426"/>
      <c r="I212" s="426"/>
      <c r="J212" s="426"/>
      <c r="K212" s="426"/>
      <c r="L212" s="426"/>
      <c r="M212" s="426"/>
      <c r="N212" s="426"/>
      <c r="O212" s="426"/>
      <c r="P212" s="426"/>
      <c r="Q212" s="426"/>
      <c r="R212" s="426"/>
      <c r="S212" s="426"/>
      <c r="T212" s="426"/>
      <c r="U212" s="426"/>
      <c r="V212" s="426"/>
      <c r="W212" s="426"/>
      <c r="X212" s="426"/>
      <c r="Y212" s="426"/>
      <c r="Z212" s="426"/>
      <c r="AA212" s="427"/>
      <c r="AB212" s="255"/>
    </row>
    <row r="213" spans="1:28" ht="16.2" customHeight="1" x14ac:dyDescent="0.25">
      <c r="A213" s="231"/>
      <c r="B213" s="251"/>
      <c r="C213" s="155"/>
      <c r="D213" s="141"/>
      <c r="E213" s="145"/>
      <c r="F213" s="252"/>
      <c r="G213" s="158"/>
      <c r="H213" s="253"/>
      <c r="I213" s="283"/>
      <c r="J213" s="231"/>
      <c r="K213" s="231"/>
      <c r="L213" s="253"/>
      <c r="M213" s="253"/>
      <c r="N213" s="253"/>
      <c r="O213" s="253"/>
      <c r="P213" s="253"/>
      <c r="Q213" s="253"/>
      <c r="R213" s="253"/>
      <c r="S213" s="231"/>
      <c r="T213" s="231"/>
      <c r="U213" s="231"/>
      <c r="V213" s="253"/>
      <c r="W213" s="231"/>
      <c r="X213" s="231"/>
      <c r="Y213" s="231"/>
      <c r="Z213" s="253"/>
      <c r="AA213" s="254"/>
      <c r="AB213" s="231"/>
    </row>
    <row r="214" spans="1:28" ht="16.2" customHeight="1" x14ac:dyDescent="0.25">
      <c r="A214" s="231">
        <v>7</v>
      </c>
      <c r="B214" s="251">
        <v>46180</v>
      </c>
      <c r="C214" s="155"/>
      <c r="D214" s="141"/>
      <c r="E214" s="142"/>
      <c r="F214" s="252"/>
      <c r="G214" s="285" t="s">
        <v>260</v>
      </c>
      <c r="H214" s="253"/>
      <c r="I214" s="283"/>
      <c r="J214" s="231"/>
      <c r="K214" s="231"/>
      <c r="L214" s="253"/>
      <c r="M214" s="253"/>
      <c r="N214" s="253"/>
      <c r="O214" s="253"/>
      <c r="P214" s="253"/>
      <c r="Q214" s="253"/>
      <c r="R214" s="253"/>
      <c r="S214" s="231"/>
      <c r="T214" s="231"/>
      <c r="U214" s="231"/>
      <c r="V214" s="253"/>
      <c r="W214" s="231"/>
      <c r="X214" s="231"/>
      <c r="Y214" s="231"/>
      <c r="Z214" s="231" t="s">
        <v>78</v>
      </c>
      <c r="AA214" s="254" t="s">
        <v>444</v>
      </c>
      <c r="AB214" s="231"/>
    </row>
    <row r="216" spans="1:28" ht="16.2" customHeight="1" x14ac:dyDescent="0.3">
      <c r="A216" s="252">
        <v>5</v>
      </c>
      <c r="B216" s="251"/>
      <c r="C216" s="140"/>
      <c r="D216" s="141"/>
      <c r="E216" s="142"/>
      <c r="F216" s="252"/>
      <c r="G216" s="312"/>
      <c r="H216" s="253"/>
      <c r="I216" s="273" t="s">
        <v>574</v>
      </c>
      <c r="J216" s="231"/>
      <c r="K216" s="231"/>
      <c r="L216" s="253"/>
      <c r="M216" s="253"/>
      <c r="N216" s="253"/>
      <c r="O216" s="253"/>
      <c r="P216" s="253"/>
      <c r="Q216" s="253"/>
      <c r="R216" s="253"/>
      <c r="S216" s="231"/>
      <c r="T216" s="231"/>
      <c r="U216" s="231"/>
      <c r="V216" s="253"/>
      <c r="W216" s="231"/>
      <c r="X216" s="231"/>
      <c r="Y216" s="231"/>
      <c r="Z216" s="231"/>
      <c r="AA216" s="254"/>
      <c r="AB216" s="231"/>
    </row>
    <row r="217" spans="1:28" ht="16.2" customHeight="1" x14ac:dyDescent="0.3">
      <c r="A217" s="252"/>
      <c r="B217" s="251">
        <v>46185</v>
      </c>
      <c r="C217" s="140"/>
      <c r="D217" s="141"/>
      <c r="E217" s="142"/>
      <c r="F217" s="258">
        <v>45824</v>
      </c>
      <c r="G217" s="313" t="s">
        <v>575</v>
      </c>
      <c r="H217" s="253"/>
      <c r="I217" s="273"/>
      <c r="J217" s="231"/>
      <c r="K217" s="231"/>
      <c r="L217" s="253"/>
      <c r="M217" s="253"/>
      <c r="N217" s="253"/>
      <c r="O217" s="253"/>
      <c r="P217" s="253"/>
      <c r="Q217" s="253"/>
      <c r="R217" s="253"/>
      <c r="S217" s="231"/>
      <c r="T217" s="231"/>
      <c r="U217" s="231"/>
      <c r="V217" s="253"/>
      <c r="W217" s="231"/>
      <c r="X217" s="231"/>
      <c r="Y217" s="231"/>
      <c r="Z217" s="231" t="s">
        <v>78</v>
      </c>
      <c r="AA217" s="254" t="s">
        <v>444</v>
      </c>
      <c r="AB217" s="231"/>
    </row>
    <row r="218" spans="1:28" s="321" customFormat="1" ht="16.2" customHeight="1" x14ac:dyDescent="0.3">
      <c r="A218" s="301"/>
      <c r="B218" s="314"/>
      <c r="C218" s="315"/>
      <c r="D218" s="316"/>
      <c r="E218" s="317"/>
      <c r="F218" s="318"/>
      <c r="G218" s="319"/>
      <c r="H218" s="299"/>
      <c r="I218" s="320"/>
      <c r="J218" s="301"/>
      <c r="K218" s="301"/>
      <c r="L218" s="299"/>
      <c r="M218" s="299"/>
      <c r="N218" s="299"/>
      <c r="O218" s="299"/>
      <c r="P218" s="299"/>
      <c r="Q218" s="299"/>
      <c r="R218" s="299"/>
      <c r="S218" s="301"/>
      <c r="T218" s="301"/>
      <c r="U218" s="301"/>
      <c r="V218" s="299"/>
      <c r="W218" s="301"/>
      <c r="X218" s="301"/>
      <c r="Y218" s="301"/>
      <c r="Z218" s="301"/>
      <c r="AA218" s="302"/>
      <c r="AB218" s="301"/>
    </row>
    <row r="219" spans="1:28" ht="16.2" customHeight="1" x14ac:dyDescent="0.25">
      <c r="A219" s="231">
        <v>7</v>
      </c>
      <c r="B219" s="251">
        <v>46187</v>
      </c>
      <c r="C219" s="140"/>
      <c r="D219" s="141"/>
      <c r="E219" s="145"/>
      <c r="F219" s="252"/>
      <c r="G219" s="266" t="s">
        <v>576</v>
      </c>
      <c r="H219" s="253"/>
      <c r="I219" s="283" t="s">
        <v>577</v>
      </c>
      <c r="J219" s="231"/>
      <c r="K219" s="231"/>
      <c r="L219" s="253"/>
      <c r="M219" s="253"/>
      <c r="N219" s="253"/>
      <c r="O219" s="253"/>
      <c r="P219" s="253"/>
      <c r="Q219" s="253"/>
      <c r="R219" s="253"/>
      <c r="S219" s="231"/>
      <c r="T219" s="231"/>
      <c r="U219" s="231"/>
      <c r="V219" s="253"/>
      <c r="W219" s="231"/>
      <c r="X219" s="231"/>
      <c r="Y219" s="231"/>
      <c r="Z219" s="231" t="s">
        <v>78</v>
      </c>
      <c r="AA219" s="254" t="s">
        <v>444</v>
      </c>
      <c r="AB219" s="231"/>
    </row>
    <row r="220" spans="1:28" ht="16.2" customHeight="1" x14ac:dyDescent="0.25">
      <c r="A220" s="231"/>
      <c r="B220" s="251">
        <v>46187</v>
      </c>
      <c r="C220" s="140"/>
      <c r="D220" s="141"/>
      <c r="E220" s="145"/>
      <c r="F220" s="258">
        <v>45810</v>
      </c>
      <c r="G220" s="350" t="s">
        <v>79</v>
      </c>
      <c r="H220" s="361"/>
      <c r="I220" s="371"/>
      <c r="J220" s="352"/>
      <c r="K220" s="352">
        <v>3</v>
      </c>
      <c r="L220" s="361"/>
      <c r="M220" s="361"/>
      <c r="N220" s="361"/>
      <c r="O220" s="361"/>
      <c r="P220" s="361"/>
      <c r="Q220" s="361"/>
      <c r="R220" s="361"/>
      <c r="S220" s="352"/>
      <c r="T220" s="352">
        <v>70</v>
      </c>
      <c r="U220" s="352"/>
      <c r="V220" s="361"/>
      <c r="W220" s="352">
        <v>19</v>
      </c>
      <c r="X220" s="352"/>
      <c r="Y220" s="352" t="s">
        <v>207</v>
      </c>
      <c r="Z220" s="361"/>
      <c r="AA220" s="353" t="s">
        <v>146</v>
      </c>
      <c r="AB220" s="354" t="s">
        <v>300</v>
      </c>
    </row>
    <row r="221" spans="1:28" ht="16.2" customHeight="1" x14ac:dyDescent="0.25">
      <c r="A221" s="231"/>
      <c r="B221" s="251">
        <v>46187</v>
      </c>
      <c r="C221" s="140"/>
      <c r="D221" s="141"/>
      <c r="E221" s="145"/>
      <c r="F221" s="258">
        <v>45811</v>
      </c>
      <c r="G221" s="350" t="s">
        <v>206</v>
      </c>
      <c r="H221" s="361"/>
      <c r="I221" s="371"/>
      <c r="J221" s="352"/>
      <c r="K221" s="352">
        <v>3</v>
      </c>
      <c r="L221" s="361"/>
      <c r="M221" s="361"/>
      <c r="N221" s="361"/>
      <c r="O221" s="361"/>
      <c r="P221" s="361"/>
      <c r="Q221" s="361"/>
      <c r="R221" s="361"/>
      <c r="S221" s="352"/>
      <c r="T221" s="352">
        <v>70</v>
      </c>
      <c r="U221" s="352"/>
      <c r="V221" s="361"/>
      <c r="W221" s="352"/>
      <c r="X221" s="352"/>
      <c r="Y221" s="352"/>
      <c r="Z221" s="361"/>
      <c r="AA221" s="353" t="s">
        <v>149</v>
      </c>
      <c r="AB221" s="354" t="s">
        <v>299</v>
      </c>
    </row>
    <row r="222" spans="1:28" ht="16.2" customHeight="1" x14ac:dyDescent="0.25">
      <c r="A222" s="231"/>
      <c r="B222" s="251">
        <v>46187</v>
      </c>
      <c r="C222" s="140"/>
      <c r="D222" s="141"/>
      <c r="E222" s="145"/>
      <c r="F222" s="258">
        <v>45819</v>
      </c>
      <c r="G222" s="350" t="s">
        <v>153</v>
      </c>
      <c r="H222" s="361"/>
      <c r="I222" s="371"/>
      <c r="J222" s="352"/>
      <c r="K222" s="352">
        <v>1</v>
      </c>
      <c r="L222" s="361"/>
      <c r="M222" s="361"/>
      <c r="N222" s="361"/>
      <c r="O222" s="361"/>
      <c r="P222" s="361"/>
      <c r="Q222" s="361"/>
      <c r="R222" s="361"/>
      <c r="S222" s="352"/>
      <c r="T222" s="352">
        <v>70</v>
      </c>
      <c r="U222" s="352"/>
      <c r="V222" s="361"/>
      <c r="W222" s="352">
        <v>8</v>
      </c>
      <c r="X222" s="352"/>
      <c r="Y222" s="352" t="s">
        <v>210</v>
      </c>
      <c r="Z222" s="361"/>
      <c r="AA222" s="353" t="s">
        <v>151</v>
      </c>
      <c r="AB222" s="354" t="s">
        <v>498</v>
      </c>
    </row>
    <row r="223" spans="1:28" ht="16.2" customHeight="1" x14ac:dyDescent="0.25">
      <c r="A223" s="231"/>
      <c r="B223" s="251">
        <v>46187</v>
      </c>
      <c r="C223" s="140"/>
      <c r="D223" s="141"/>
      <c r="E223" s="145"/>
      <c r="F223" s="258">
        <v>45820</v>
      </c>
      <c r="G223" s="350" t="s">
        <v>85</v>
      </c>
      <c r="H223" s="361"/>
      <c r="I223" s="371"/>
      <c r="J223" s="352"/>
      <c r="K223" s="352">
        <v>2</v>
      </c>
      <c r="L223" s="361"/>
      <c r="M223" s="361"/>
      <c r="N223" s="361"/>
      <c r="O223" s="361"/>
      <c r="P223" s="361"/>
      <c r="Q223" s="361"/>
      <c r="R223" s="361"/>
      <c r="S223" s="352"/>
      <c r="T223" s="352">
        <v>80</v>
      </c>
      <c r="U223" s="352"/>
      <c r="V223" s="361"/>
      <c r="W223" s="352">
        <v>9</v>
      </c>
      <c r="X223" s="352"/>
      <c r="Y223" s="352" t="s">
        <v>210</v>
      </c>
      <c r="Z223" s="361"/>
      <c r="AA223" s="353" t="s">
        <v>148</v>
      </c>
      <c r="AB223" s="354" t="s">
        <v>482</v>
      </c>
    </row>
    <row r="224" spans="1:28" ht="16.2" customHeight="1" x14ac:dyDescent="0.25">
      <c r="A224" s="231"/>
      <c r="B224" s="251">
        <v>46187</v>
      </c>
      <c r="C224" s="140"/>
      <c r="D224" s="141"/>
      <c r="E224" s="145"/>
      <c r="F224" s="258">
        <v>45821</v>
      </c>
      <c r="G224" s="350" t="s">
        <v>578</v>
      </c>
      <c r="H224" s="361"/>
      <c r="I224" s="371"/>
      <c r="J224" s="352"/>
      <c r="K224" s="352">
        <v>3</v>
      </c>
      <c r="L224" s="361"/>
      <c r="M224" s="361"/>
      <c r="N224" s="361"/>
      <c r="O224" s="361"/>
      <c r="P224" s="361"/>
      <c r="Q224" s="361"/>
      <c r="R224" s="361"/>
      <c r="S224" s="352"/>
      <c r="T224" s="352">
        <v>70</v>
      </c>
      <c r="U224" s="352"/>
      <c r="V224" s="361"/>
      <c r="W224" s="352">
        <v>22</v>
      </c>
      <c r="X224" s="352"/>
      <c r="Y224" s="352" t="s">
        <v>207</v>
      </c>
      <c r="Z224" s="361"/>
      <c r="AA224" s="353" t="s">
        <v>147</v>
      </c>
      <c r="AB224" s="354" t="s">
        <v>579</v>
      </c>
    </row>
    <row r="225" spans="1:28" ht="16.2" customHeight="1" x14ac:dyDescent="0.25">
      <c r="A225" s="231"/>
      <c r="B225" s="251">
        <v>46187</v>
      </c>
      <c r="C225" s="140"/>
      <c r="D225" s="141"/>
      <c r="E225" s="145"/>
      <c r="F225" s="258">
        <v>45821</v>
      </c>
      <c r="G225" s="350" t="s">
        <v>580</v>
      </c>
      <c r="H225" s="361"/>
      <c r="I225" s="371"/>
      <c r="J225" s="352"/>
      <c r="K225" s="352">
        <v>2</v>
      </c>
      <c r="L225" s="361"/>
      <c r="M225" s="361"/>
      <c r="N225" s="361"/>
      <c r="O225" s="361"/>
      <c r="P225" s="361"/>
      <c r="Q225" s="361"/>
      <c r="R225" s="361"/>
      <c r="S225" s="352"/>
      <c r="T225" s="352">
        <v>70</v>
      </c>
      <c r="U225" s="352"/>
      <c r="V225" s="361"/>
      <c r="W225" s="352">
        <v>6</v>
      </c>
      <c r="X225" s="352"/>
      <c r="Y225" s="352" t="s">
        <v>210</v>
      </c>
      <c r="Z225" s="361"/>
      <c r="AA225" s="353" t="s">
        <v>448</v>
      </c>
      <c r="AB225" s="354" t="s">
        <v>449</v>
      </c>
    </row>
    <row r="226" spans="1:28" ht="16.2" customHeight="1" x14ac:dyDescent="0.25">
      <c r="A226" s="231"/>
      <c r="B226" s="251">
        <v>46187</v>
      </c>
      <c r="C226" s="140"/>
      <c r="D226" s="141"/>
      <c r="E226" s="145"/>
      <c r="F226" s="258">
        <v>45821</v>
      </c>
      <c r="G226" s="350" t="s">
        <v>581</v>
      </c>
      <c r="H226" s="361"/>
      <c r="I226" s="371"/>
      <c r="J226" s="352"/>
      <c r="K226" s="352">
        <v>1</v>
      </c>
      <c r="L226" s="361"/>
      <c r="M226" s="361"/>
      <c r="N226" s="361"/>
      <c r="O226" s="361"/>
      <c r="P226" s="361"/>
      <c r="Q226" s="361"/>
      <c r="R226" s="361"/>
      <c r="S226" s="352"/>
      <c r="T226" s="352">
        <v>60</v>
      </c>
      <c r="U226" s="352"/>
      <c r="V226" s="361"/>
      <c r="W226" s="352">
        <v>8</v>
      </c>
      <c r="X226" s="352"/>
      <c r="Y226" s="352" t="s">
        <v>210</v>
      </c>
      <c r="Z226" s="361"/>
      <c r="AA226" s="353" t="s">
        <v>445</v>
      </c>
      <c r="AB226" s="354" t="s">
        <v>582</v>
      </c>
    </row>
    <row r="227" spans="1:28" ht="16.2" customHeight="1" x14ac:dyDescent="0.25">
      <c r="A227" s="231"/>
      <c r="B227" s="251">
        <v>46187</v>
      </c>
      <c r="C227" s="140"/>
      <c r="D227" s="141"/>
      <c r="E227" s="145"/>
      <c r="F227" s="258">
        <v>45824</v>
      </c>
      <c r="G227" s="350" t="s">
        <v>451</v>
      </c>
      <c r="H227" s="361"/>
      <c r="I227" s="371"/>
      <c r="J227" s="352"/>
      <c r="K227" s="352" t="s">
        <v>453</v>
      </c>
      <c r="L227" s="361"/>
      <c r="M227" s="361"/>
      <c r="N227" s="361"/>
      <c r="O227" s="361"/>
      <c r="P227" s="361"/>
      <c r="Q227" s="361"/>
      <c r="R227" s="361"/>
      <c r="S227" s="352"/>
      <c r="T227" s="352"/>
      <c r="U227" s="352"/>
      <c r="V227" s="361"/>
      <c r="W227" s="352">
        <v>14</v>
      </c>
      <c r="X227" s="352"/>
      <c r="Y227" s="352" t="s">
        <v>207</v>
      </c>
      <c r="Z227" s="361"/>
      <c r="AA227" s="353" t="s">
        <v>145</v>
      </c>
      <c r="AB227" s="354" t="s">
        <v>452</v>
      </c>
    </row>
    <row r="228" spans="1:28" ht="16.2" customHeight="1" x14ac:dyDescent="0.25">
      <c r="A228" s="231"/>
      <c r="B228" s="251"/>
      <c r="C228" s="140"/>
      <c r="D228" s="141"/>
      <c r="E228" s="145"/>
      <c r="F228" s="252"/>
      <c r="G228" s="158"/>
      <c r="H228" s="253"/>
      <c r="I228" s="283"/>
      <c r="J228" s="231"/>
      <c r="K228" s="231"/>
      <c r="L228" s="253"/>
      <c r="M228" s="253"/>
      <c r="N228" s="253"/>
      <c r="O228" s="253"/>
      <c r="P228" s="253"/>
      <c r="Q228" s="253"/>
      <c r="R228" s="253"/>
      <c r="S228" s="231"/>
      <c r="T228" s="231"/>
      <c r="U228" s="231"/>
      <c r="V228" s="253"/>
      <c r="W228" s="231"/>
      <c r="X228" s="231"/>
      <c r="Y228" s="231"/>
      <c r="Z228" s="253"/>
      <c r="AA228" s="254"/>
      <c r="AB228" s="231"/>
    </row>
    <row r="229" spans="1:28" ht="16.2" customHeight="1" x14ac:dyDescent="0.25">
      <c r="A229" s="231">
        <v>7</v>
      </c>
      <c r="B229" s="251">
        <v>46193</v>
      </c>
      <c r="C229" s="155"/>
      <c r="D229" s="141"/>
      <c r="E229" s="142"/>
      <c r="F229" s="258">
        <v>45839</v>
      </c>
      <c r="G229" s="339" t="s">
        <v>583</v>
      </c>
      <c r="H229" s="356"/>
      <c r="I229" s="357"/>
      <c r="J229" s="358"/>
      <c r="K229" s="358">
        <v>1</v>
      </c>
      <c r="L229" s="356" t="s">
        <v>505</v>
      </c>
      <c r="M229" s="356"/>
      <c r="N229" s="356"/>
      <c r="O229" s="356"/>
      <c r="P229" s="356"/>
      <c r="Q229" s="356" t="s">
        <v>78</v>
      </c>
      <c r="R229" s="356"/>
      <c r="S229" s="358"/>
      <c r="T229" s="358">
        <v>70</v>
      </c>
      <c r="U229" s="358"/>
      <c r="V229" s="356"/>
      <c r="W229" s="358">
        <v>6</v>
      </c>
      <c r="X229" s="358" t="s">
        <v>210</v>
      </c>
      <c r="Y229" s="358" t="s">
        <v>210</v>
      </c>
      <c r="Z229" s="356"/>
      <c r="AA229" s="359" t="s">
        <v>147</v>
      </c>
      <c r="AB229" s="358" t="s">
        <v>506</v>
      </c>
    </row>
    <row r="230" spans="1:28" s="321" customFormat="1" ht="16.2" customHeight="1" x14ac:dyDescent="0.25">
      <c r="A230" s="301"/>
      <c r="B230" s="322"/>
      <c r="C230" s="323"/>
      <c r="D230" s="324"/>
      <c r="E230" s="325"/>
      <c r="F230" s="326"/>
      <c r="G230" s="319"/>
      <c r="H230" s="299"/>
      <c r="I230" s="300"/>
      <c r="J230" s="301"/>
      <c r="K230" s="301"/>
      <c r="L230" s="299"/>
      <c r="M230" s="299"/>
      <c r="N230" s="299"/>
      <c r="O230" s="299"/>
      <c r="P230" s="299"/>
      <c r="Q230" s="299"/>
      <c r="R230" s="299"/>
      <c r="S230" s="301"/>
      <c r="T230" s="301"/>
      <c r="U230" s="301"/>
      <c r="V230" s="299"/>
      <c r="W230" s="301"/>
      <c r="X230" s="301"/>
      <c r="Y230" s="301"/>
      <c r="Z230" s="301"/>
      <c r="AA230" s="302"/>
      <c r="AB230" s="301"/>
    </row>
    <row r="231" spans="1:28" ht="16.2" customHeight="1" x14ac:dyDescent="0.25">
      <c r="A231" s="231">
        <v>7</v>
      </c>
      <c r="B231" s="304">
        <v>46194</v>
      </c>
      <c r="C231" s="327"/>
      <c r="D231" s="328"/>
      <c r="E231" s="329"/>
      <c r="F231" s="258">
        <v>45743</v>
      </c>
      <c r="G231" s="303" t="s">
        <v>584</v>
      </c>
      <c r="H231" s="253"/>
      <c r="I231" s="283" t="s">
        <v>585</v>
      </c>
      <c r="J231" s="231"/>
      <c r="K231" s="231"/>
      <c r="L231" s="253"/>
      <c r="M231" s="253"/>
      <c r="N231" s="253"/>
      <c r="O231" s="253"/>
      <c r="P231" s="253"/>
      <c r="Q231" s="253"/>
      <c r="R231" s="253"/>
      <c r="S231" s="231"/>
      <c r="T231" s="231"/>
      <c r="U231" s="231"/>
      <c r="V231" s="253"/>
      <c r="W231" s="231"/>
      <c r="X231" s="231"/>
      <c r="Y231" s="231"/>
      <c r="Z231" s="231" t="s">
        <v>78</v>
      </c>
      <c r="AA231" s="254" t="s">
        <v>444</v>
      </c>
      <c r="AB231" s="231"/>
    </row>
    <row r="232" spans="1:28" ht="16.2" customHeight="1" x14ac:dyDescent="0.25">
      <c r="A232" s="231">
        <v>7</v>
      </c>
      <c r="B232" s="304">
        <v>46194</v>
      </c>
      <c r="C232" s="327"/>
      <c r="D232" s="328"/>
      <c r="E232" s="329"/>
      <c r="F232" s="258">
        <v>45743</v>
      </c>
      <c r="G232" s="303" t="s">
        <v>586</v>
      </c>
      <c r="H232" s="253"/>
      <c r="I232" s="283" t="s">
        <v>587</v>
      </c>
      <c r="J232" s="231"/>
      <c r="K232" s="231"/>
      <c r="L232" s="253"/>
      <c r="M232" s="253"/>
      <c r="N232" s="253"/>
      <c r="O232" s="253"/>
      <c r="P232" s="253"/>
      <c r="Q232" s="253"/>
      <c r="R232" s="253"/>
      <c r="S232" s="231"/>
      <c r="T232" s="231"/>
      <c r="U232" s="231"/>
      <c r="V232" s="253"/>
      <c r="W232" s="231"/>
      <c r="X232" s="231"/>
      <c r="Y232" s="231"/>
      <c r="Z232" s="231" t="s">
        <v>78</v>
      </c>
      <c r="AA232" s="254" t="s">
        <v>444</v>
      </c>
      <c r="AB232" s="231"/>
    </row>
    <row r="233" spans="1:28" ht="16.2" customHeight="1" x14ac:dyDescent="0.25">
      <c r="A233" s="231"/>
      <c r="B233" s="304">
        <v>46194</v>
      </c>
      <c r="C233" s="140"/>
      <c r="D233" s="141"/>
      <c r="E233" s="145"/>
      <c r="F233" s="258">
        <v>45810</v>
      </c>
      <c r="G233" s="390" t="s">
        <v>301</v>
      </c>
      <c r="H233" s="361"/>
      <c r="I233" s="362"/>
      <c r="J233" s="352"/>
      <c r="K233" s="352">
        <v>1</v>
      </c>
      <c r="L233" s="361"/>
      <c r="M233" s="361"/>
      <c r="N233" s="361"/>
      <c r="O233" s="361"/>
      <c r="P233" s="361"/>
      <c r="Q233" s="361"/>
      <c r="R233" s="361"/>
      <c r="S233" s="352"/>
      <c r="T233" s="352">
        <v>70</v>
      </c>
      <c r="U233" s="352"/>
      <c r="V233" s="361"/>
      <c r="W233" s="352">
        <v>14</v>
      </c>
      <c r="X233" s="352"/>
      <c r="Y233" s="352" t="s">
        <v>207</v>
      </c>
      <c r="Z233" s="352"/>
      <c r="AA233" s="353" t="s">
        <v>146</v>
      </c>
      <c r="AB233" s="354" t="s">
        <v>302</v>
      </c>
    </row>
    <row r="234" spans="1:28" ht="16.2" customHeight="1" x14ac:dyDescent="0.25">
      <c r="A234" s="231"/>
      <c r="B234" s="304"/>
      <c r="C234" s="140"/>
      <c r="D234" s="141"/>
      <c r="E234" s="145"/>
      <c r="F234" s="258"/>
      <c r="G234" s="144"/>
      <c r="H234" s="253"/>
      <c r="I234" s="143"/>
      <c r="J234" s="231"/>
      <c r="K234" s="231"/>
      <c r="L234" s="253"/>
      <c r="M234" s="253"/>
      <c r="N234" s="253"/>
      <c r="O234" s="253"/>
      <c r="P234" s="253"/>
      <c r="Q234" s="253"/>
      <c r="R234" s="253"/>
      <c r="S234" s="231"/>
      <c r="T234" s="231"/>
      <c r="U234" s="231"/>
      <c r="V234" s="253"/>
      <c r="W234" s="231"/>
      <c r="X234" s="231"/>
      <c r="Y234" s="231"/>
      <c r="Z234" s="231"/>
      <c r="AA234" s="254"/>
      <c r="AB234" s="231"/>
    </row>
    <row r="235" spans="1:28" ht="16.2" customHeight="1" x14ac:dyDescent="0.25">
      <c r="A235" s="231"/>
      <c r="B235" s="304">
        <v>46200</v>
      </c>
      <c r="C235" s="140"/>
      <c r="D235" s="141"/>
      <c r="E235" s="145"/>
      <c r="F235" s="258">
        <v>45847</v>
      </c>
      <c r="G235" s="144" t="s">
        <v>588</v>
      </c>
      <c r="H235" s="253"/>
      <c r="I235" s="143"/>
      <c r="J235" s="231"/>
      <c r="K235" s="231"/>
      <c r="L235" s="253"/>
      <c r="M235" s="253"/>
      <c r="N235" s="253"/>
      <c r="O235" s="253"/>
      <c r="P235" s="253"/>
      <c r="Q235" s="253"/>
      <c r="R235" s="253"/>
      <c r="S235" s="231"/>
      <c r="T235" s="231"/>
      <c r="U235" s="231"/>
      <c r="V235" s="253"/>
      <c r="W235" s="231"/>
      <c r="X235" s="231"/>
      <c r="Y235" s="231"/>
      <c r="Z235" s="231"/>
      <c r="AA235" s="254"/>
      <c r="AB235" s="231"/>
    </row>
    <row r="236" spans="1:28" ht="16.2" customHeight="1" x14ac:dyDescent="0.25">
      <c r="A236" s="231"/>
      <c r="B236" s="304">
        <v>46201</v>
      </c>
      <c r="C236" s="140"/>
      <c r="D236" s="141"/>
      <c r="E236" s="145"/>
      <c r="F236" s="258">
        <v>45847</v>
      </c>
      <c r="G236" s="144" t="s">
        <v>589</v>
      </c>
      <c r="H236" s="253"/>
      <c r="I236" s="143"/>
      <c r="J236" s="231"/>
      <c r="K236" s="231"/>
      <c r="L236" s="253"/>
      <c r="M236" s="253"/>
      <c r="N236" s="253"/>
      <c r="O236" s="253"/>
      <c r="P236" s="253"/>
      <c r="Q236" s="253"/>
      <c r="R236" s="253"/>
      <c r="S236" s="231"/>
      <c r="T236" s="231"/>
      <c r="U236" s="231"/>
      <c r="V236" s="253"/>
      <c r="W236" s="231"/>
      <c r="X236" s="231"/>
      <c r="Y236" s="231"/>
      <c r="Z236" s="231"/>
      <c r="AA236" s="254"/>
      <c r="AB236" s="231"/>
    </row>
    <row r="237" spans="1:28" ht="16.2" customHeight="1" x14ac:dyDescent="0.25">
      <c r="A237" s="231">
        <v>7</v>
      </c>
      <c r="B237" s="251">
        <v>46201</v>
      </c>
      <c r="C237" s="140"/>
      <c r="D237" s="141"/>
      <c r="E237" s="145"/>
      <c r="F237" s="252"/>
      <c r="G237" s="393" t="s">
        <v>254</v>
      </c>
      <c r="H237" s="356"/>
      <c r="I237" s="373"/>
      <c r="J237" s="358"/>
      <c r="K237" s="358">
        <v>1</v>
      </c>
      <c r="L237" s="356"/>
      <c r="M237" s="356"/>
      <c r="N237" s="356"/>
      <c r="O237" s="356"/>
      <c r="P237" s="356"/>
      <c r="Q237" s="356" t="s">
        <v>78</v>
      </c>
      <c r="R237" s="356"/>
      <c r="S237" s="358"/>
      <c r="T237" s="358">
        <v>70</v>
      </c>
      <c r="U237" s="358"/>
      <c r="V237" s="356"/>
      <c r="W237" s="358">
        <v>6</v>
      </c>
      <c r="X237" s="358"/>
      <c r="Y237" s="358" t="s">
        <v>210</v>
      </c>
      <c r="Z237" s="356"/>
      <c r="AA237" s="359" t="s">
        <v>448</v>
      </c>
      <c r="AB237" s="358" t="s">
        <v>590</v>
      </c>
    </row>
    <row r="238" spans="1:28" ht="16.2" customHeight="1" x14ac:dyDescent="0.25">
      <c r="A238" s="231"/>
      <c r="B238" s="251">
        <v>46201</v>
      </c>
      <c r="C238" s="155"/>
      <c r="D238" s="141"/>
      <c r="E238" s="142"/>
      <c r="F238" s="252"/>
      <c r="G238" s="339" t="s">
        <v>314</v>
      </c>
      <c r="H238" s="356"/>
      <c r="I238" s="357"/>
      <c r="J238" s="358"/>
      <c r="K238" s="358">
        <v>1</v>
      </c>
      <c r="L238" s="356"/>
      <c r="M238" s="356"/>
      <c r="N238" s="356"/>
      <c r="O238" s="356" t="s">
        <v>304</v>
      </c>
      <c r="P238" s="356"/>
      <c r="Q238" s="356" t="s">
        <v>78</v>
      </c>
      <c r="R238" s="356"/>
      <c r="S238" s="358"/>
      <c r="T238" s="358">
        <v>70</v>
      </c>
      <c r="U238" s="358"/>
      <c r="V238" s="356"/>
      <c r="W238" s="358">
        <v>8</v>
      </c>
      <c r="X238" s="358"/>
      <c r="Y238" s="358" t="s">
        <v>210</v>
      </c>
      <c r="Z238" s="356"/>
      <c r="AA238" s="359" t="s">
        <v>477</v>
      </c>
      <c r="AB238" s="360" t="s">
        <v>591</v>
      </c>
    </row>
    <row r="239" spans="1:28" ht="16.2" customHeight="1" x14ac:dyDescent="0.25">
      <c r="A239" s="231"/>
      <c r="B239" s="251">
        <v>46201</v>
      </c>
      <c r="C239" s="155"/>
      <c r="D239" s="141"/>
      <c r="E239" s="142"/>
      <c r="F239" s="258">
        <v>45810</v>
      </c>
      <c r="G239" s="391" t="s">
        <v>95</v>
      </c>
      <c r="H239" s="361"/>
      <c r="I239" s="362"/>
      <c r="J239" s="352"/>
      <c r="K239" s="352">
        <v>5</v>
      </c>
      <c r="L239" s="361"/>
      <c r="M239" s="361"/>
      <c r="N239" s="361"/>
      <c r="O239" s="361"/>
      <c r="P239" s="361"/>
      <c r="Q239" s="361"/>
      <c r="R239" s="361"/>
      <c r="S239" s="352"/>
      <c r="T239" s="352">
        <v>70</v>
      </c>
      <c r="U239" s="352"/>
      <c r="V239" s="361"/>
      <c r="W239" s="352"/>
      <c r="X239" s="352"/>
      <c r="Y239" s="352"/>
      <c r="Z239" s="361"/>
      <c r="AA239" s="353" t="s">
        <v>146</v>
      </c>
      <c r="AB239" s="354" t="s">
        <v>496</v>
      </c>
    </row>
    <row r="240" spans="1:28" ht="16.2" customHeight="1" x14ac:dyDescent="0.25">
      <c r="A240" s="231"/>
      <c r="B240" s="251">
        <v>46201</v>
      </c>
      <c r="C240" s="155"/>
      <c r="D240" s="141"/>
      <c r="E240" s="142"/>
      <c r="F240" s="258">
        <v>45821</v>
      </c>
      <c r="G240" s="391" t="s">
        <v>243</v>
      </c>
      <c r="H240" s="361"/>
      <c r="I240" s="362"/>
      <c r="J240" s="352"/>
      <c r="K240" s="352" t="s">
        <v>551</v>
      </c>
      <c r="L240" s="361"/>
      <c r="M240" s="361"/>
      <c r="N240" s="361"/>
      <c r="O240" s="361"/>
      <c r="P240" s="361"/>
      <c r="Q240" s="361"/>
      <c r="R240" s="361"/>
      <c r="S240" s="352"/>
      <c r="T240" s="352">
        <v>70</v>
      </c>
      <c r="U240" s="352"/>
      <c r="V240" s="361"/>
      <c r="W240" s="352">
        <v>16</v>
      </c>
      <c r="X240" s="352"/>
      <c r="Y240" s="352" t="s">
        <v>207</v>
      </c>
      <c r="Z240" s="361"/>
      <c r="AA240" s="353" t="s">
        <v>147</v>
      </c>
      <c r="AB240" s="354" t="s">
        <v>592</v>
      </c>
    </row>
    <row r="241" spans="1:28" ht="16.2" customHeight="1" x14ac:dyDescent="0.25">
      <c r="A241" s="231"/>
      <c r="B241" s="251">
        <v>46201</v>
      </c>
      <c r="C241" s="155"/>
      <c r="D241" s="141"/>
      <c r="E241" s="142"/>
      <c r="F241" s="258">
        <v>45821</v>
      </c>
      <c r="G241" s="391" t="s">
        <v>89</v>
      </c>
      <c r="H241" s="361"/>
      <c r="I241" s="362"/>
      <c r="J241" s="352"/>
      <c r="K241" s="352" t="s">
        <v>87</v>
      </c>
      <c r="L241" s="361"/>
      <c r="M241" s="361"/>
      <c r="N241" s="361"/>
      <c r="O241" s="361"/>
      <c r="P241" s="361"/>
      <c r="Q241" s="361"/>
      <c r="R241" s="361"/>
      <c r="S241" s="352" t="s">
        <v>42</v>
      </c>
      <c r="T241" s="352">
        <v>70</v>
      </c>
      <c r="U241" s="352"/>
      <c r="V241" s="361"/>
      <c r="W241" s="352">
        <v>8</v>
      </c>
      <c r="X241" s="352"/>
      <c r="Y241" s="352" t="s">
        <v>210</v>
      </c>
      <c r="Z241" s="361"/>
      <c r="AA241" s="353" t="s">
        <v>445</v>
      </c>
      <c r="AB241" s="354" t="s">
        <v>501</v>
      </c>
    </row>
    <row r="242" spans="1:28" ht="16.2" customHeight="1" x14ac:dyDescent="0.25">
      <c r="A242" s="231"/>
      <c r="B242" s="251">
        <v>46201</v>
      </c>
      <c r="C242" s="155"/>
      <c r="D242" s="141"/>
      <c r="E242" s="142"/>
      <c r="F242" s="258">
        <v>45821</v>
      </c>
      <c r="G242" s="391" t="s">
        <v>90</v>
      </c>
      <c r="H242" s="361"/>
      <c r="I242" s="362"/>
      <c r="J242" s="352"/>
      <c r="K242" s="352" t="s">
        <v>500</v>
      </c>
      <c r="L242" s="361"/>
      <c r="M242" s="361"/>
      <c r="N242" s="361"/>
      <c r="O242" s="361"/>
      <c r="P242" s="361"/>
      <c r="Q242" s="361"/>
      <c r="R242" s="361"/>
      <c r="S242" s="352"/>
      <c r="T242" s="352">
        <v>70</v>
      </c>
      <c r="U242" s="352"/>
      <c r="V242" s="361"/>
      <c r="W242" s="352">
        <v>8</v>
      </c>
      <c r="X242" s="352"/>
      <c r="Y242" s="352" t="s">
        <v>210</v>
      </c>
      <c r="Z242" s="361"/>
      <c r="AA242" s="353" t="s">
        <v>445</v>
      </c>
      <c r="AB242" s="354" t="s">
        <v>593</v>
      </c>
    </row>
    <row r="243" spans="1:28" ht="16.2" customHeight="1" x14ac:dyDescent="0.25">
      <c r="A243" s="231"/>
      <c r="B243" s="251">
        <v>46201</v>
      </c>
      <c r="C243" s="155"/>
      <c r="D243" s="141"/>
      <c r="E243" s="142"/>
      <c r="F243" s="258">
        <v>45824</v>
      </c>
      <c r="G243" s="391" t="s">
        <v>216</v>
      </c>
      <c r="H243" s="361"/>
      <c r="I243" s="362"/>
      <c r="J243" s="352"/>
      <c r="K243" s="392" t="s">
        <v>548</v>
      </c>
      <c r="L243" s="361"/>
      <c r="M243" s="361"/>
      <c r="N243" s="361"/>
      <c r="O243" s="361"/>
      <c r="P243" s="361"/>
      <c r="Q243" s="361"/>
      <c r="R243" s="361"/>
      <c r="S243" s="352"/>
      <c r="T243" s="352">
        <v>70</v>
      </c>
      <c r="U243" s="352"/>
      <c r="V243" s="361"/>
      <c r="W243" s="352">
        <v>12</v>
      </c>
      <c r="X243" s="352"/>
      <c r="Y243" s="352" t="s">
        <v>207</v>
      </c>
      <c r="Z243" s="361"/>
      <c r="AA243" s="353" t="s">
        <v>150</v>
      </c>
      <c r="AB243" s="354" t="s">
        <v>241</v>
      </c>
    </row>
    <row r="244" spans="1:28" ht="16.2" customHeight="1" x14ac:dyDescent="0.25">
      <c r="A244" s="231"/>
      <c r="B244" s="251">
        <v>46201</v>
      </c>
      <c r="C244" s="155"/>
      <c r="D244" s="141"/>
      <c r="E244" s="142"/>
      <c r="F244" s="258">
        <v>45824</v>
      </c>
      <c r="G244" s="260" t="s">
        <v>86</v>
      </c>
      <c r="H244" s="361"/>
      <c r="I244" s="371"/>
      <c r="J244" s="352" t="s">
        <v>78</v>
      </c>
      <c r="K244" s="352">
        <v>3</v>
      </c>
      <c r="L244" s="361"/>
      <c r="M244" s="361"/>
      <c r="N244" s="361"/>
      <c r="O244" s="361"/>
      <c r="P244" s="361"/>
      <c r="Q244" s="361"/>
      <c r="R244" s="361"/>
      <c r="S244" s="352"/>
      <c r="T244" s="352">
        <v>70</v>
      </c>
      <c r="U244" s="352"/>
      <c r="V244" s="361"/>
      <c r="W244" s="352"/>
      <c r="X244" s="352"/>
      <c r="Y244" s="352" t="s">
        <v>207</v>
      </c>
      <c r="Z244" s="361"/>
      <c r="AA244" s="353" t="s">
        <v>148</v>
      </c>
      <c r="AB244" s="354" t="s">
        <v>594</v>
      </c>
    </row>
    <row r="245" spans="1:28" ht="16.2" customHeight="1" x14ac:dyDescent="0.25">
      <c r="A245" s="231"/>
      <c r="B245" s="251">
        <v>46201</v>
      </c>
      <c r="C245" s="155"/>
      <c r="D245" s="141"/>
      <c r="E245" s="142"/>
      <c r="F245" s="258">
        <v>45824</v>
      </c>
      <c r="G245" s="260" t="s">
        <v>462</v>
      </c>
      <c r="H245" s="361"/>
      <c r="I245" s="371"/>
      <c r="J245" s="352"/>
      <c r="K245" s="352">
        <v>5</v>
      </c>
      <c r="L245" s="361"/>
      <c r="M245" s="361"/>
      <c r="N245" s="361"/>
      <c r="O245" s="361"/>
      <c r="P245" s="361"/>
      <c r="Q245" s="361"/>
      <c r="R245" s="361"/>
      <c r="S245" s="352"/>
      <c r="T245" s="352">
        <v>70</v>
      </c>
      <c r="U245" s="352"/>
      <c r="V245" s="361"/>
      <c r="W245" s="352">
        <v>11</v>
      </c>
      <c r="X245" s="352"/>
      <c r="Y245" s="352" t="s">
        <v>207</v>
      </c>
      <c r="Z245" s="361"/>
      <c r="AA245" s="353" t="s">
        <v>145</v>
      </c>
      <c r="AB245" s="354" t="s">
        <v>463</v>
      </c>
    </row>
    <row r="246" spans="1:28" ht="16.2" customHeight="1" x14ac:dyDescent="0.25">
      <c r="A246" s="231"/>
      <c r="B246" s="251"/>
      <c r="C246" s="330"/>
      <c r="D246" s="331"/>
      <c r="E246" s="332"/>
      <c r="F246" s="277"/>
      <c r="G246" s="333"/>
      <c r="H246" s="279"/>
      <c r="I246" s="334"/>
      <c r="J246" s="281"/>
      <c r="K246" s="281"/>
      <c r="L246" s="279"/>
      <c r="M246" s="279"/>
      <c r="N246" s="279"/>
      <c r="O246" s="279"/>
      <c r="P246" s="279"/>
      <c r="Q246" s="279"/>
      <c r="R246" s="279"/>
      <c r="S246" s="281"/>
      <c r="T246" s="281"/>
      <c r="U246" s="281"/>
      <c r="V246" s="279"/>
      <c r="W246" s="281"/>
      <c r="X246" s="281"/>
      <c r="Y246" s="281"/>
      <c r="Z246" s="279"/>
      <c r="AA246" s="282"/>
      <c r="AB246" s="231"/>
    </row>
    <row r="247" spans="1:28" ht="33.75" customHeight="1" x14ac:dyDescent="0.25">
      <c r="A247" s="255"/>
      <c r="B247" s="256"/>
      <c r="C247" s="413" t="s">
        <v>595</v>
      </c>
      <c r="D247" s="424"/>
      <c r="E247" s="424"/>
      <c r="F247" s="424"/>
      <c r="G247" s="424"/>
      <c r="H247" s="424"/>
      <c r="I247" s="424"/>
      <c r="J247" s="424"/>
      <c r="K247" s="424"/>
      <c r="L247" s="424"/>
      <c r="M247" s="424"/>
      <c r="N247" s="424"/>
      <c r="O247" s="424"/>
      <c r="P247" s="424"/>
      <c r="Q247" s="424"/>
      <c r="R247" s="424"/>
      <c r="S247" s="424"/>
      <c r="T247" s="424"/>
      <c r="U247" s="424"/>
      <c r="V247" s="424"/>
      <c r="W247" s="424"/>
      <c r="X247" s="424"/>
      <c r="Y247" s="424"/>
      <c r="Z247" s="424"/>
      <c r="AA247" s="425"/>
      <c r="AB247" s="255"/>
    </row>
    <row r="248" spans="1:28" ht="16.2" customHeight="1" x14ac:dyDescent="0.25">
      <c r="A248" s="231"/>
      <c r="B248" s="251"/>
      <c r="C248" s="155"/>
      <c r="D248" s="141"/>
      <c r="E248" s="142"/>
      <c r="F248" s="252"/>
      <c r="G248" s="335"/>
      <c r="H248" s="253"/>
      <c r="I248" s="143"/>
      <c r="J248" s="231"/>
      <c r="K248" s="231"/>
      <c r="L248" s="253"/>
      <c r="M248" s="253"/>
      <c r="N248" s="253"/>
      <c r="O248" s="253"/>
      <c r="P248" s="253"/>
      <c r="Q248" s="253"/>
      <c r="R248" s="253"/>
      <c r="S248" s="231"/>
      <c r="T248" s="231"/>
      <c r="U248" s="231"/>
      <c r="V248" s="253"/>
      <c r="W248" s="231"/>
      <c r="X248" s="231"/>
      <c r="Y248" s="231"/>
      <c r="Z248" s="253"/>
      <c r="AA248" s="254"/>
      <c r="AB248" s="231"/>
    </row>
    <row r="249" spans="1:28" ht="16.2" customHeight="1" x14ac:dyDescent="0.25">
      <c r="A249" s="252">
        <v>5</v>
      </c>
      <c r="B249" s="336">
        <v>46206</v>
      </c>
      <c r="C249" s="140"/>
      <c r="D249" s="141"/>
      <c r="E249" s="145"/>
      <c r="F249" s="258">
        <v>45771</v>
      </c>
      <c r="G249" s="268" t="s">
        <v>596</v>
      </c>
      <c r="H249" s="253"/>
      <c r="I249" s="143"/>
      <c r="J249" s="231"/>
      <c r="K249" s="231"/>
      <c r="L249" s="253"/>
      <c r="M249" s="253" t="s">
        <v>78</v>
      </c>
      <c r="N249" s="253"/>
      <c r="O249" s="253"/>
      <c r="P249" s="253"/>
      <c r="Q249" s="253"/>
      <c r="R249" s="253"/>
      <c r="S249" s="231"/>
      <c r="T249" s="231"/>
      <c r="U249" s="231"/>
      <c r="V249" s="253"/>
      <c r="W249" s="231"/>
      <c r="X249" s="231"/>
      <c r="Y249" s="231"/>
      <c r="Z249" s="253" t="s">
        <v>78</v>
      </c>
      <c r="AA249" s="254" t="s">
        <v>444</v>
      </c>
      <c r="AB249" s="231"/>
    </row>
    <row r="250" spans="1:28" ht="16.2" customHeight="1" x14ac:dyDescent="0.25">
      <c r="A250" s="231">
        <v>7</v>
      </c>
      <c r="B250" s="251">
        <v>46208</v>
      </c>
      <c r="C250" s="146" t="s">
        <v>80</v>
      </c>
      <c r="D250" s="147" t="s">
        <v>80</v>
      </c>
      <c r="E250" s="148" t="s">
        <v>80</v>
      </c>
      <c r="F250" s="252"/>
      <c r="G250" s="337" t="s">
        <v>597</v>
      </c>
      <c r="H250" s="253"/>
      <c r="I250" s="143"/>
      <c r="J250" s="231"/>
      <c r="K250" s="231"/>
      <c r="L250" s="253"/>
      <c r="M250" s="253"/>
      <c r="N250" s="253"/>
      <c r="O250" s="253"/>
      <c r="P250" s="253"/>
      <c r="Q250" s="253"/>
      <c r="R250" s="253"/>
      <c r="S250" s="231"/>
      <c r="T250" s="231"/>
      <c r="U250" s="231"/>
      <c r="V250" s="253"/>
      <c r="W250" s="231"/>
      <c r="X250" s="231"/>
      <c r="Y250" s="231"/>
      <c r="Z250" s="231" t="s">
        <v>78</v>
      </c>
      <c r="AA250" s="254" t="s">
        <v>444</v>
      </c>
      <c r="AB250" s="231"/>
    </row>
    <row r="251" spans="1:28" ht="16.2" customHeight="1" x14ac:dyDescent="0.25">
      <c r="A251" s="231"/>
      <c r="B251" s="251">
        <v>46208</v>
      </c>
      <c r="C251" s="146" t="s">
        <v>80</v>
      </c>
      <c r="D251" s="147" t="s">
        <v>80</v>
      </c>
      <c r="E251" s="148" t="s">
        <v>80</v>
      </c>
      <c r="F251" s="258">
        <v>45810</v>
      </c>
      <c r="G251" s="390" t="s">
        <v>96</v>
      </c>
      <c r="H251" s="361"/>
      <c r="I251" s="362"/>
      <c r="J251" s="352" t="s">
        <v>78</v>
      </c>
      <c r="K251" s="352">
        <v>3</v>
      </c>
      <c r="L251" s="361"/>
      <c r="M251" s="361"/>
      <c r="N251" s="361"/>
      <c r="O251" s="361"/>
      <c r="P251" s="361"/>
      <c r="Q251" s="361"/>
      <c r="R251" s="361"/>
      <c r="S251" s="352"/>
      <c r="T251" s="352">
        <v>70</v>
      </c>
      <c r="U251" s="352"/>
      <c r="V251" s="361"/>
      <c r="W251" s="352">
        <v>11</v>
      </c>
      <c r="X251" s="352"/>
      <c r="Y251" s="352"/>
      <c r="Z251" s="352"/>
      <c r="AA251" s="353" t="s">
        <v>445</v>
      </c>
      <c r="AB251" s="354" t="s">
        <v>446</v>
      </c>
    </row>
    <row r="252" spans="1:28" ht="16.2" customHeight="1" x14ac:dyDescent="0.25">
      <c r="A252" s="231"/>
      <c r="B252" s="251">
        <v>46208</v>
      </c>
      <c r="C252" s="146" t="s">
        <v>80</v>
      </c>
      <c r="D252" s="147" t="s">
        <v>80</v>
      </c>
      <c r="E252" s="148" t="s">
        <v>80</v>
      </c>
      <c r="F252" s="258">
        <v>45810</v>
      </c>
      <c r="G252" s="390" t="s">
        <v>105</v>
      </c>
      <c r="H252" s="361"/>
      <c r="I252" s="362"/>
      <c r="J252" s="352" t="s">
        <v>78</v>
      </c>
      <c r="K252" s="352">
        <v>3</v>
      </c>
      <c r="L252" s="361"/>
      <c r="M252" s="361"/>
      <c r="N252" s="361"/>
      <c r="O252" s="361"/>
      <c r="P252" s="361"/>
      <c r="Q252" s="361"/>
      <c r="R252" s="361"/>
      <c r="S252" s="352"/>
      <c r="T252" s="352">
        <v>80</v>
      </c>
      <c r="U252" s="352"/>
      <c r="V252" s="361"/>
      <c r="W252" s="352">
        <v>6</v>
      </c>
      <c r="X252" s="352"/>
      <c r="Y252" s="352" t="s">
        <v>210</v>
      </c>
      <c r="Z252" s="352"/>
      <c r="AA252" s="353" t="s">
        <v>477</v>
      </c>
      <c r="AB252" s="354" t="s">
        <v>253</v>
      </c>
    </row>
    <row r="253" spans="1:28" ht="16.2" customHeight="1" x14ac:dyDescent="0.25">
      <c r="A253" s="231"/>
      <c r="B253" s="251">
        <v>46208</v>
      </c>
      <c r="C253" s="146" t="s">
        <v>80</v>
      </c>
      <c r="D253" s="147" t="s">
        <v>80</v>
      </c>
      <c r="E253" s="148" t="s">
        <v>80</v>
      </c>
      <c r="F253" s="258">
        <v>45818</v>
      </c>
      <c r="G253" s="390" t="s">
        <v>212</v>
      </c>
      <c r="H253" s="361"/>
      <c r="I253" s="362"/>
      <c r="J253" s="352"/>
      <c r="K253" s="352">
        <v>2</v>
      </c>
      <c r="L253" s="361"/>
      <c r="M253" s="361"/>
      <c r="N253" s="361"/>
      <c r="O253" s="361"/>
      <c r="P253" s="361"/>
      <c r="Q253" s="361"/>
      <c r="R253" s="361"/>
      <c r="S253" s="352"/>
      <c r="T253" s="352">
        <v>70</v>
      </c>
      <c r="U253" s="352"/>
      <c r="V253" s="361"/>
      <c r="W253" s="352">
        <v>20</v>
      </c>
      <c r="X253" s="352"/>
      <c r="Y253" s="352"/>
      <c r="Z253" s="352"/>
      <c r="AA253" s="353" t="s">
        <v>152</v>
      </c>
      <c r="AB253" s="354" t="s">
        <v>516</v>
      </c>
    </row>
    <row r="254" spans="1:28" ht="16.2" customHeight="1" x14ac:dyDescent="0.25">
      <c r="A254" s="231"/>
      <c r="B254" s="251">
        <v>46208</v>
      </c>
      <c r="C254" s="146" t="s">
        <v>80</v>
      </c>
      <c r="D254" s="147" t="s">
        <v>80</v>
      </c>
      <c r="E254" s="148" t="s">
        <v>80</v>
      </c>
      <c r="F254" s="258">
        <v>45824</v>
      </c>
      <c r="G254" s="390" t="s">
        <v>451</v>
      </c>
      <c r="H254" s="361"/>
      <c r="I254" s="362"/>
      <c r="J254" s="352"/>
      <c r="K254" s="352">
        <v>3</v>
      </c>
      <c r="L254" s="361"/>
      <c r="M254" s="361"/>
      <c r="N254" s="361"/>
      <c r="O254" s="361"/>
      <c r="P254" s="361"/>
      <c r="Q254" s="361"/>
      <c r="R254" s="361"/>
      <c r="S254" s="352"/>
      <c r="T254" s="352">
        <v>70</v>
      </c>
      <c r="U254" s="352"/>
      <c r="V254" s="361"/>
      <c r="W254" s="352">
        <v>17</v>
      </c>
      <c r="X254" s="352"/>
      <c r="Y254" s="352" t="s">
        <v>207</v>
      </c>
      <c r="Z254" s="352"/>
      <c r="AA254" s="353" t="s">
        <v>145</v>
      </c>
      <c r="AB254" s="354" t="s">
        <v>452</v>
      </c>
    </row>
    <row r="255" spans="1:28" ht="16.2" customHeight="1" x14ac:dyDescent="0.25">
      <c r="A255" s="231"/>
      <c r="B255" s="251"/>
      <c r="C255" s="146"/>
      <c r="D255" s="147"/>
      <c r="E255" s="148"/>
      <c r="F255" s="258"/>
      <c r="G255" s="144"/>
      <c r="H255" s="253"/>
      <c r="I255" s="143"/>
      <c r="J255" s="231"/>
      <c r="K255" s="231"/>
      <c r="L255" s="253"/>
      <c r="M255" s="253"/>
      <c r="N255" s="253"/>
      <c r="O255" s="253"/>
      <c r="P255" s="253"/>
      <c r="Q255" s="253"/>
      <c r="R255" s="253"/>
      <c r="S255" s="231"/>
      <c r="T255" s="231"/>
      <c r="U255" s="231"/>
      <c r="V255" s="253"/>
      <c r="W255" s="231"/>
      <c r="X255" s="231"/>
      <c r="Y255" s="231"/>
      <c r="Z255" s="231"/>
      <c r="AA255" s="254"/>
      <c r="AB255" s="231"/>
    </row>
    <row r="256" spans="1:28" ht="16.2" customHeight="1" x14ac:dyDescent="0.25">
      <c r="A256" s="231">
        <v>6</v>
      </c>
      <c r="B256" s="251">
        <v>46214</v>
      </c>
      <c r="C256" s="146" t="s">
        <v>80</v>
      </c>
      <c r="D256" s="147" t="s">
        <v>80</v>
      </c>
      <c r="E256" s="148" t="s">
        <v>80</v>
      </c>
      <c r="F256" s="252"/>
      <c r="G256" s="394" t="s">
        <v>89</v>
      </c>
      <c r="H256" s="356"/>
      <c r="I256" s="357"/>
      <c r="J256" s="358"/>
      <c r="K256" s="358">
        <v>1</v>
      </c>
      <c r="L256" s="356"/>
      <c r="M256" s="356"/>
      <c r="N256" s="356"/>
      <c r="O256" s="356"/>
      <c r="P256" s="356" t="s">
        <v>78</v>
      </c>
      <c r="Q256" s="356"/>
      <c r="R256" s="356"/>
      <c r="S256" s="358"/>
      <c r="T256" s="358"/>
      <c r="U256" s="358"/>
      <c r="V256" s="356" t="s">
        <v>171</v>
      </c>
      <c r="W256" s="358">
        <v>30</v>
      </c>
      <c r="X256" s="358"/>
      <c r="Y256" s="358" t="s">
        <v>207</v>
      </c>
      <c r="Z256" s="356"/>
      <c r="AA256" s="359" t="s">
        <v>445</v>
      </c>
      <c r="AB256" s="360" t="s">
        <v>501</v>
      </c>
    </row>
    <row r="257" spans="1:28" ht="16.2" customHeight="1" x14ac:dyDescent="0.25">
      <c r="A257" s="231"/>
      <c r="B257" s="251"/>
      <c r="C257" s="146"/>
      <c r="D257" s="147"/>
      <c r="E257" s="148"/>
      <c r="F257" s="252"/>
      <c r="G257" s="338"/>
      <c r="H257" s="253"/>
      <c r="I257" s="143"/>
      <c r="J257" s="231"/>
      <c r="K257" s="231"/>
      <c r="L257" s="253"/>
      <c r="M257" s="253"/>
      <c r="N257" s="253"/>
      <c r="O257" s="253"/>
      <c r="P257" s="253"/>
      <c r="Q257" s="253"/>
      <c r="R257" s="253"/>
      <c r="S257" s="231"/>
      <c r="T257" s="231"/>
      <c r="U257" s="231"/>
      <c r="V257" s="253"/>
      <c r="W257" s="231"/>
      <c r="X257" s="231"/>
      <c r="Y257" s="231"/>
      <c r="Z257" s="253"/>
      <c r="AA257" s="254"/>
      <c r="AB257" s="94"/>
    </row>
    <row r="258" spans="1:28" ht="16.2" customHeight="1" x14ac:dyDescent="0.25">
      <c r="A258" s="231">
        <v>7</v>
      </c>
      <c r="B258" s="251">
        <v>46215</v>
      </c>
      <c r="C258" s="146" t="s">
        <v>80</v>
      </c>
      <c r="D258" s="147" t="s">
        <v>80</v>
      </c>
      <c r="E258" s="148" t="s">
        <v>80</v>
      </c>
      <c r="F258" s="258">
        <v>45839</v>
      </c>
      <c r="G258" s="339" t="s">
        <v>598</v>
      </c>
      <c r="H258" s="253"/>
      <c r="I258" s="143"/>
      <c r="J258" s="231"/>
      <c r="K258" s="231"/>
      <c r="L258" s="253"/>
      <c r="M258" s="253"/>
      <c r="N258" s="253"/>
      <c r="O258" s="253"/>
      <c r="P258" s="253"/>
      <c r="Q258" s="253"/>
      <c r="R258" s="253"/>
      <c r="S258" s="231"/>
      <c r="T258" s="231"/>
      <c r="U258" s="231"/>
      <c r="V258" s="253"/>
      <c r="W258" s="231"/>
      <c r="X258" s="231"/>
      <c r="Y258" s="231"/>
      <c r="Z258" s="253" t="s">
        <v>78</v>
      </c>
      <c r="AA258" s="254" t="s">
        <v>444</v>
      </c>
      <c r="AB258" s="231"/>
    </row>
    <row r="259" spans="1:28" ht="16.2" customHeight="1" x14ac:dyDescent="0.25">
      <c r="A259" s="231"/>
      <c r="B259" s="251"/>
      <c r="C259" s="146" t="s">
        <v>80</v>
      </c>
      <c r="D259" s="147" t="s">
        <v>80</v>
      </c>
      <c r="E259" s="148" t="s">
        <v>80</v>
      </c>
      <c r="F259" s="252"/>
      <c r="G259" s="338"/>
      <c r="H259" s="253"/>
      <c r="I259" s="143"/>
      <c r="J259" s="231"/>
      <c r="K259" s="231"/>
      <c r="L259" s="253"/>
      <c r="M259" s="253"/>
      <c r="N259" s="253"/>
      <c r="O259" s="253"/>
      <c r="P259" s="253"/>
      <c r="Q259" s="253"/>
      <c r="R259" s="253"/>
      <c r="S259" s="231"/>
      <c r="T259" s="231"/>
      <c r="U259" s="231"/>
      <c r="V259" s="253"/>
      <c r="W259" s="231"/>
      <c r="X259" s="231"/>
      <c r="Y259" s="231"/>
      <c r="Z259" s="253"/>
      <c r="AA259" s="254"/>
      <c r="AB259" s="231"/>
    </row>
    <row r="260" spans="1:28" ht="16.2" customHeight="1" x14ac:dyDescent="0.25">
      <c r="A260" s="231">
        <v>2</v>
      </c>
      <c r="B260" s="251">
        <v>46217</v>
      </c>
      <c r="C260" s="146" t="s">
        <v>80</v>
      </c>
      <c r="D260" s="147" t="s">
        <v>80</v>
      </c>
      <c r="E260" s="148" t="s">
        <v>80</v>
      </c>
      <c r="F260" s="252"/>
      <c r="G260" s="340"/>
      <c r="H260" s="253"/>
      <c r="I260" s="143"/>
      <c r="J260" s="231"/>
      <c r="K260" s="231"/>
      <c r="L260" s="253"/>
      <c r="M260" s="253"/>
      <c r="N260" s="253"/>
      <c r="O260" s="253"/>
      <c r="P260" s="253"/>
      <c r="Q260" s="253"/>
      <c r="R260" s="253"/>
      <c r="S260" s="231"/>
      <c r="T260" s="231"/>
      <c r="U260" s="231"/>
      <c r="V260" s="253"/>
      <c r="W260" s="231"/>
      <c r="X260" s="231"/>
      <c r="Y260" s="231"/>
      <c r="Z260" s="253"/>
      <c r="AA260" s="254"/>
      <c r="AB260" s="231"/>
    </row>
    <row r="261" spans="1:28" ht="16.2" customHeight="1" x14ac:dyDescent="0.25">
      <c r="A261" s="231">
        <v>7</v>
      </c>
      <c r="B261" s="251">
        <v>46222</v>
      </c>
      <c r="C261" s="146" t="s">
        <v>80</v>
      </c>
      <c r="D261" s="147" t="s">
        <v>80</v>
      </c>
      <c r="E261" s="148" t="s">
        <v>80</v>
      </c>
      <c r="F261" s="258">
        <v>45819</v>
      </c>
      <c r="G261" s="395" t="s">
        <v>517</v>
      </c>
      <c r="H261" s="361"/>
      <c r="I261" s="362"/>
      <c r="J261" s="352"/>
      <c r="K261" s="352">
        <v>4</v>
      </c>
      <c r="L261" s="361"/>
      <c r="M261" s="361"/>
      <c r="N261" s="361"/>
      <c r="O261" s="361"/>
      <c r="P261" s="361"/>
      <c r="Q261" s="361"/>
      <c r="R261" s="361"/>
      <c r="S261" s="352"/>
      <c r="T261" s="352">
        <v>70</v>
      </c>
      <c r="U261" s="352"/>
      <c r="V261" s="361"/>
      <c r="W261" s="352"/>
      <c r="X261" s="352"/>
      <c r="Y261" s="352" t="s">
        <v>207</v>
      </c>
      <c r="Z261" s="361"/>
      <c r="AA261" s="353" t="s">
        <v>151</v>
      </c>
      <c r="AB261" s="354" t="s">
        <v>518</v>
      </c>
    </row>
    <row r="262" spans="1:28" ht="16.2" customHeight="1" x14ac:dyDescent="0.25">
      <c r="A262" s="231"/>
      <c r="B262" s="251"/>
      <c r="C262" s="146" t="s">
        <v>80</v>
      </c>
      <c r="D262" s="147" t="s">
        <v>80</v>
      </c>
      <c r="E262" s="148" t="s">
        <v>80</v>
      </c>
      <c r="F262" s="252"/>
      <c r="G262" s="340"/>
      <c r="H262" s="253"/>
      <c r="I262" s="143"/>
      <c r="J262" s="231"/>
      <c r="K262" s="231"/>
      <c r="L262" s="253"/>
      <c r="M262" s="253"/>
      <c r="N262" s="253"/>
      <c r="O262" s="253"/>
      <c r="P262" s="253"/>
      <c r="Q262" s="253"/>
      <c r="R262" s="253"/>
      <c r="S262" s="231"/>
      <c r="T262" s="231"/>
      <c r="U262" s="231"/>
      <c r="V262" s="253"/>
      <c r="W262" s="231"/>
      <c r="X262" s="231"/>
      <c r="Y262" s="231"/>
      <c r="Z262" s="253"/>
      <c r="AA262" s="254"/>
      <c r="AB262" s="231"/>
    </row>
    <row r="263" spans="1:28" ht="16.2" customHeight="1" x14ac:dyDescent="0.25">
      <c r="A263" s="231">
        <v>7</v>
      </c>
      <c r="B263" s="251">
        <v>46229</v>
      </c>
      <c r="C263" s="146" t="s">
        <v>80</v>
      </c>
      <c r="D263" s="147" t="s">
        <v>80</v>
      </c>
      <c r="E263" s="148" t="s">
        <v>80</v>
      </c>
      <c r="F263" s="252"/>
      <c r="G263" s="340"/>
      <c r="H263" s="253"/>
      <c r="I263" s="143"/>
      <c r="J263" s="231"/>
      <c r="K263" s="231"/>
      <c r="L263" s="253"/>
      <c r="M263" s="253"/>
      <c r="N263" s="253"/>
      <c r="O263" s="253"/>
      <c r="P263" s="253"/>
      <c r="Q263" s="253"/>
      <c r="R263" s="253"/>
      <c r="S263" s="231"/>
      <c r="T263" s="231"/>
      <c r="U263" s="231"/>
      <c r="V263" s="253"/>
      <c r="W263" s="231"/>
      <c r="X263" s="231"/>
      <c r="Y263" s="231"/>
      <c r="Z263" s="253"/>
      <c r="AA263" s="254"/>
      <c r="AB263" s="231"/>
    </row>
    <row r="264" spans="1:28" ht="16.2" customHeight="1" x14ac:dyDescent="0.25">
      <c r="A264" s="231"/>
      <c r="B264" s="251"/>
      <c r="C264" s="146"/>
      <c r="D264" s="147"/>
      <c r="E264" s="148"/>
      <c r="F264" s="252"/>
      <c r="G264" s="340"/>
      <c r="H264" s="253"/>
      <c r="I264" s="143"/>
      <c r="J264" s="231"/>
      <c r="K264" s="231"/>
      <c r="L264" s="253"/>
      <c r="M264" s="253"/>
      <c r="N264" s="253"/>
      <c r="O264" s="253"/>
      <c r="P264" s="253"/>
      <c r="Q264" s="253"/>
      <c r="R264" s="253"/>
      <c r="S264" s="231"/>
      <c r="T264" s="231"/>
      <c r="U264" s="231"/>
      <c r="V264" s="253"/>
      <c r="W264" s="231"/>
      <c r="X264" s="231"/>
      <c r="Y264" s="231"/>
      <c r="Z264" s="253"/>
      <c r="AA264" s="254"/>
      <c r="AB264" s="231"/>
    </row>
    <row r="265" spans="1:28" ht="30.75" customHeight="1" x14ac:dyDescent="0.25">
      <c r="A265" s="255"/>
      <c r="B265" s="256"/>
      <c r="C265" s="413" t="s">
        <v>599</v>
      </c>
      <c r="D265" s="414"/>
      <c r="E265" s="414"/>
      <c r="F265" s="414"/>
      <c r="G265" s="414"/>
      <c r="H265" s="414"/>
      <c r="I265" s="414"/>
      <c r="J265" s="414"/>
      <c r="K265" s="414"/>
      <c r="L265" s="414"/>
      <c r="M265" s="414"/>
      <c r="N265" s="414"/>
      <c r="O265" s="414"/>
      <c r="P265" s="414"/>
      <c r="Q265" s="414"/>
      <c r="R265" s="414"/>
      <c r="S265" s="414"/>
      <c r="T265" s="414"/>
      <c r="U265" s="414"/>
      <c r="V265" s="414"/>
      <c r="W265" s="414"/>
      <c r="X265" s="414"/>
      <c r="Y265" s="414"/>
      <c r="Z265" s="414"/>
      <c r="AA265" s="415"/>
      <c r="AB265" s="255"/>
    </row>
    <row r="266" spans="1:28" ht="16.2" customHeight="1" x14ac:dyDescent="0.25">
      <c r="A266" s="231"/>
      <c r="B266" s="251"/>
      <c r="C266" s="146"/>
      <c r="D266" s="147"/>
      <c r="E266" s="148"/>
      <c r="F266" s="252"/>
      <c r="G266" s="340"/>
      <c r="H266" s="253"/>
      <c r="I266" s="143"/>
      <c r="J266" s="231"/>
      <c r="K266" s="231"/>
      <c r="L266" s="253"/>
      <c r="M266" s="253"/>
      <c r="N266" s="253"/>
      <c r="O266" s="253"/>
      <c r="P266" s="253"/>
      <c r="Q266" s="253"/>
      <c r="R266" s="253"/>
      <c r="S266" s="231"/>
      <c r="T266" s="231"/>
      <c r="U266" s="231"/>
      <c r="V266" s="253"/>
      <c r="W266" s="231"/>
      <c r="X266" s="231"/>
      <c r="Y266" s="231"/>
      <c r="Z266" s="253"/>
      <c r="AA266" s="254"/>
      <c r="AB266" s="231"/>
    </row>
    <row r="267" spans="1:28" ht="16.2" customHeight="1" x14ac:dyDescent="0.25">
      <c r="A267" s="231">
        <v>7</v>
      </c>
      <c r="B267" s="251">
        <v>46236</v>
      </c>
      <c r="C267" s="146" t="s">
        <v>80</v>
      </c>
      <c r="D267" s="147" t="s">
        <v>80</v>
      </c>
      <c r="E267" s="148" t="s">
        <v>80</v>
      </c>
      <c r="F267" s="252"/>
      <c r="G267" s="340"/>
      <c r="H267" s="253"/>
      <c r="I267" s="143"/>
      <c r="J267" s="231"/>
      <c r="K267" s="231"/>
      <c r="L267" s="253"/>
      <c r="M267" s="253"/>
      <c r="N267" s="253"/>
      <c r="O267" s="253"/>
      <c r="P267" s="253"/>
      <c r="Q267" s="253"/>
      <c r="R267" s="253"/>
      <c r="S267" s="231"/>
      <c r="T267" s="231"/>
      <c r="U267" s="231"/>
      <c r="V267" s="253"/>
      <c r="W267" s="231"/>
      <c r="X267" s="231"/>
      <c r="Y267" s="231"/>
      <c r="Z267" s="253"/>
      <c r="AA267" s="254"/>
      <c r="AB267" s="231"/>
    </row>
    <row r="268" spans="1:28" ht="16.2" customHeight="1" x14ac:dyDescent="0.25">
      <c r="A268" s="231">
        <v>7</v>
      </c>
      <c r="B268" s="251">
        <v>46243</v>
      </c>
      <c r="C268" s="146" t="s">
        <v>80</v>
      </c>
      <c r="D268" s="147" t="s">
        <v>80</v>
      </c>
      <c r="E268" s="148" t="s">
        <v>80</v>
      </c>
      <c r="F268" s="252"/>
      <c r="G268" s="340"/>
      <c r="H268" s="253"/>
      <c r="I268" s="143"/>
      <c r="J268" s="231"/>
      <c r="K268" s="231"/>
      <c r="L268" s="253"/>
      <c r="M268" s="253"/>
      <c r="N268" s="253"/>
      <c r="O268" s="253"/>
      <c r="P268" s="253"/>
      <c r="Q268" s="253"/>
      <c r="R268" s="253"/>
      <c r="S268" s="231"/>
      <c r="T268" s="231"/>
      <c r="U268" s="231"/>
      <c r="V268" s="253"/>
      <c r="W268" s="231"/>
      <c r="X268" s="231"/>
      <c r="Y268" s="231"/>
      <c r="Z268" s="253"/>
      <c r="AA268" s="254"/>
      <c r="AB268" s="231"/>
    </row>
    <row r="269" spans="1:28" ht="16.2" customHeight="1" x14ac:dyDescent="0.25">
      <c r="A269" s="231">
        <v>6</v>
      </c>
      <c r="B269" s="251">
        <v>46249</v>
      </c>
      <c r="C269" s="146" t="s">
        <v>80</v>
      </c>
      <c r="D269" s="147" t="s">
        <v>80</v>
      </c>
      <c r="E269" s="148" t="s">
        <v>80</v>
      </c>
      <c r="F269" s="252"/>
      <c r="G269" s="158"/>
      <c r="H269" s="253"/>
      <c r="I269" s="143"/>
      <c r="J269" s="231"/>
      <c r="K269" s="231"/>
      <c r="L269" s="253"/>
      <c r="M269" s="253"/>
      <c r="N269" s="253"/>
      <c r="O269" s="253"/>
      <c r="P269" s="253"/>
      <c r="Q269" s="253"/>
      <c r="R269" s="253"/>
      <c r="S269" s="231"/>
      <c r="T269" s="231"/>
      <c r="U269" s="231"/>
      <c r="V269" s="253"/>
      <c r="W269" s="231"/>
      <c r="X269" s="231"/>
      <c r="Y269" s="231"/>
      <c r="Z269" s="253"/>
      <c r="AA269" s="254"/>
      <c r="AB269" s="231"/>
    </row>
    <row r="270" spans="1:28" ht="16.2" customHeight="1" x14ac:dyDescent="0.25">
      <c r="C270" s="146" t="s">
        <v>80</v>
      </c>
      <c r="D270" s="147" t="s">
        <v>80</v>
      </c>
      <c r="E270" s="148" t="s">
        <v>80</v>
      </c>
      <c r="F270" s="252"/>
      <c r="G270" s="158"/>
      <c r="H270" s="253"/>
      <c r="I270" s="143"/>
      <c r="J270" s="231"/>
      <c r="K270" s="231"/>
      <c r="L270" s="253"/>
      <c r="M270" s="253"/>
      <c r="N270" s="253"/>
      <c r="O270" s="253"/>
      <c r="P270" s="253"/>
      <c r="Q270" s="253"/>
      <c r="R270" s="253"/>
      <c r="S270" s="231"/>
      <c r="T270" s="231"/>
      <c r="U270" s="231"/>
      <c r="V270" s="253"/>
      <c r="W270" s="231"/>
      <c r="X270" s="231"/>
      <c r="Y270" s="231"/>
      <c r="Z270" s="253"/>
      <c r="AA270" s="254"/>
      <c r="AB270" s="231"/>
    </row>
    <row r="271" spans="1:28" ht="16.2" customHeight="1" x14ac:dyDescent="0.25">
      <c r="A271" s="231">
        <v>7</v>
      </c>
      <c r="B271" s="251">
        <v>46250</v>
      </c>
      <c r="C271" s="146" t="s">
        <v>80</v>
      </c>
      <c r="D271" s="147" t="s">
        <v>80</v>
      </c>
      <c r="E271" s="148" t="s">
        <v>80</v>
      </c>
      <c r="F271" s="252"/>
      <c r="G271" s="372" t="s">
        <v>600</v>
      </c>
      <c r="H271" s="356"/>
      <c r="I271" s="357"/>
      <c r="J271" s="358"/>
      <c r="K271" s="358">
        <v>1</v>
      </c>
      <c r="L271" s="356"/>
      <c r="M271" s="356"/>
      <c r="N271" s="356"/>
      <c r="O271" s="356" t="s">
        <v>304</v>
      </c>
      <c r="P271" s="356" t="s">
        <v>78</v>
      </c>
      <c r="Q271" s="356"/>
      <c r="R271" s="356"/>
      <c r="S271" s="358"/>
      <c r="T271" s="358"/>
      <c r="U271" s="358"/>
      <c r="V271" s="356" t="s">
        <v>171</v>
      </c>
      <c r="W271" s="358">
        <v>12</v>
      </c>
      <c r="X271" s="358"/>
      <c r="Y271" s="358" t="s">
        <v>210</v>
      </c>
      <c r="Z271" s="356"/>
      <c r="AA271" s="359" t="s">
        <v>155</v>
      </c>
      <c r="AB271" s="358" t="s">
        <v>508</v>
      </c>
    </row>
    <row r="272" spans="1:28" ht="16.2" customHeight="1" x14ac:dyDescent="0.25">
      <c r="A272" s="231"/>
      <c r="B272" s="251">
        <v>46257</v>
      </c>
      <c r="C272" s="146" t="s">
        <v>80</v>
      </c>
      <c r="D272" s="147" t="s">
        <v>80</v>
      </c>
      <c r="E272" s="148" t="s">
        <v>80</v>
      </c>
      <c r="F272" s="258">
        <v>45824</v>
      </c>
      <c r="G272" s="350" t="s">
        <v>84</v>
      </c>
      <c r="H272" s="361"/>
      <c r="I272" s="362"/>
      <c r="J272" s="352"/>
      <c r="K272" s="352" t="s">
        <v>548</v>
      </c>
      <c r="L272" s="361"/>
      <c r="M272" s="361"/>
      <c r="N272" s="361"/>
      <c r="O272" s="361"/>
      <c r="P272" s="361"/>
      <c r="Q272" s="361"/>
      <c r="R272" s="361"/>
      <c r="S272" s="352"/>
      <c r="T272" s="352">
        <v>70</v>
      </c>
      <c r="U272" s="352"/>
      <c r="V272" s="361"/>
      <c r="W272" s="352">
        <v>12</v>
      </c>
      <c r="X272" s="352"/>
      <c r="Y272" s="352" t="s">
        <v>207</v>
      </c>
      <c r="Z272" s="361"/>
      <c r="AA272" s="353" t="s">
        <v>150</v>
      </c>
      <c r="AB272" s="354" t="s">
        <v>244</v>
      </c>
    </row>
    <row r="273" spans="1:28" ht="16.2" customHeight="1" x14ac:dyDescent="0.25">
      <c r="A273" s="231"/>
      <c r="B273" s="251"/>
      <c r="C273" s="146"/>
      <c r="D273" s="147"/>
      <c r="E273" s="148"/>
      <c r="F273" s="252"/>
      <c r="G273" s="158"/>
      <c r="H273" s="253"/>
      <c r="I273" s="143"/>
      <c r="J273" s="231"/>
      <c r="K273" s="231"/>
      <c r="L273" s="253"/>
      <c r="M273" s="253"/>
      <c r="N273" s="253"/>
      <c r="O273" s="253"/>
      <c r="P273" s="253"/>
      <c r="Q273" s="253"/>
      <c r="R273" s="253"/>
      <c r="S273" s="231"/>
      <c r="T273" s="231"/>
      <c r="U273" s="231"/>
      <c r="V273" s="253"/>
      <c r="W273" s="231"/>
      <c r="X273" s="231"/>
      <c r="Y273" s="231"/>
      <c r="Z273" s="253"/>
      <c r="AA273" s="254"/>
      <c r="AB273" s="231"/>
    </row>
    <row r="274" spans="1:28" ht="16.2" customHeight="1" x14ac:dyDescent="0.25">
      <c r="A274" s="231"/>
      <c r="B274" s="251">
        <v>46264</v>
      </c>
      <c r="C274" s="146" t="s">
        <v>80</v>
      </c>
      <c r="D274" s="147" t="s">
        <v>80</v>
      </c>
      <c r="E274" s="148" t="s">
        <v>80</v>
      </c>
      <c r="F274" s="258">
        <v>45818</v>
      </c>
      <c r="G274" s="350" t="s">
        <v>212</v>
      </c>
      <c r="H274" s="361"/>
      <c r="I274" s="362"/>
      <c r="J274" s="352"/>
      <c r="K274" s="352">
        <v>1</v>
      </c>
      <c r="L274" s="361"/>
      <c r="M274" s="361"/>
      <c r="N274" s="361"/>
      <c r="O274" s="361"/>
      <c r="P274" s="361"/>
      <c r="Q274" s="361"/>
      <c r="R274" s="361"/>
      <c r="S274" s="352"/>
      <c r="T274" s="352">
        <v>70</v>
      </c>
      <c r="U274" s="352"/>
      <c r="V274" s="361"/>
      <c r="W274" s="352">
        <v>16</v>
      </c>
      <c r="X274" s="352"/>
      <c r="Y274" s="352"/>
      <c r="Z274" s="361"/>
      <c r="AA274" s="353" t="s">
        <v>152</v>
      </c>
      <c r="AB274" s="354" t="s">
        <v>516</v>
      </c>
    </row>
    <row r="275" spans="1:28" ht="16.2" customHeight="1" x14ac:dyDescent="0.25">
      <c r="B275" s="251">
        <v>46264</v>
      </c>
      <c r="C275" s="146" t="s">
        <v>80</v>
      </c>
      <c r="D275" s="147" t="s">
        <v>80</v>
      </c>
      <c r="E275" s="148" t="s">
        <v>80</v>
      </c>
      <c r="F275" s="258">
        <v>45821</v>
      </c>
      <c r="G275" s="350" t="s">
        <v>251</v>
      </c>
      <c r="H275" s="361"/>
      <c r="I275" s="362"/>
      <c r="J275" s="352"/>
      <c r="K275" s="352">
        <v>2</v>
      </c>
      <c r="L275" s="361"/>
      <c r="M275" s="361"/>
      <c r="N275" s="361"/>
      <c r="O275" s="361"/>
      <c r="P275" s="361"/>
      <c r="Q275" s="361"/>
      <c r="R275" s="361"/>
      <c r="S275" s="352"/>
      <c r="T275" s="352">
        <v>70</v>
      </c>
      <c r="U275" s="352"/>
      <c r="V275" s="361"/>
      <c r="W275" s="352">
        <v>8</v>
      </c>
      <c r="X275" s="352"/>
      <c r="Y275" s="352" t="s">
        <v>210</v>
      </c>
      <c r="Z275" s="361"/>
      <c r="AA275" s="353" t="s">
        <v>445</v>
      </c>
      <c r="AB275" s="354" t="s">
        <v>562</v>
      </c>
    </row>
    <row r="276" spans="1:28" ht="16.2" customHeight="1" x14ac:dyDescent="0.25">
      <c r="B276" s="251">
        <v>46264</v>
      </c>
      <c r="C276" s="146" t="s">
        <v>80</v>
      </c>
      <c r="D276" s="147" t="s">
        <v>80</v>
      </c>
      <c r="E276" s="148" t="s">
        <v>80</v>
      </c>
      <c r="F276" s="258">
        <v>45821</v>
      </c>
      <c r="G276" s="350" t="s">
        <v>89</v>
      </c>
      <c r="H276" s="361"/>
      <c r="I276" s="362"/>
      <c r="J276" s="352"/>
      <c r="K276" s="352" t="s">
        <v>542</v>
      </c>
      <c r="L276" s="361"/>
      <c r="M276" s="361"/>
      <c r="N276" s="361"/>
      <c r="O276" s="361"/>
      <c r="P276" s="361"/>
      <c r="Q276" s="361"/>
      <c r="R276" s="361"/>
      <c r="S276" s="352"/>
      <c r="T276" s="352">
        <v>70</v>
      </c>
      <c r="U276" s="352"/>
      <c r="V276" s="361" t="s">
        <v>15</v>
      </c>
      <c r="W276" s="352">
        <v>10</v>
      </c>
      <c r="X276" s="352"/>
      <c r="Y276" s="352" t="s">
        <v>207</v>
      </c>
      <c r="Z276" s="361"/>
      <c r="AA276" s="353" t="s">
        <v>445</v>
      </c>
      <c r="AB276" s="354" t="s">
        <v>501</v>
      </c>
    </row>
    <row r="277" spans="1:28" ht="16.2" customHeight="1" x14ac:dyDescent="0.25">
      <c r="B277" s="341"/>
      <c r="G277" s="233"/>
    </row>
    <row r="278" spans="1:28" ht="16.2" customHeight="1" x14ac:dyDescent="0.25">
      <c r="B278" s="341"/>
      <c r="G278" s="233"/>
    </row>
    <row r="279" spans="1:28" ht="16.2" customHeight="1" x14ac:dyDescent="0.25">
      <c r="B279" s="341"/>
      <c r="G279" s="233"/>
    </row>
    <row r="280" spans="1:28" ht="16.2" customHeight="1" x14ac:dyDescent="0.25">
      <c r="B280" s="341"/>
      <c r="G280" s="233"/>
    </row>
    <row r="281" spans="1:28" ht="16.2" customHeight="1" x14ac:dyDescent="0.25">
      <c r="B281" s="341"/>
      <c r="G281" s="233"/>
    </row>
    <row r="282" spans="1:28" ht="16.2" customHeight="1" x14ac:dyDescent="0.25">
      <c r="B282" s="341"/>
      <c r="G282" s="233"/>
    </row>
    <row r="283" spans="1:28" ht="16.2" customHeight="1" x14ac:dyDescent="0.25">
      <c r="B283" s="341"/>
      <c r="G283" s="233"/>
    </row>
    <row r="284" spans="1:28" ht="16.2" customHeight="1" x14ac:dyDescent="0.25">
      <c r="B284" s="341"/>
      <c r="G284" s="233"/>
    </row>
    <row r="285" spans="1:28" ht="16.2" customHeight="1" x14ac:dyDescent="0.25">
      <c r="B285" s="341"/>
      <c r="G285" s="233"/>
    </row>
    <row r="286" spans="1:28" ht="16.2" customHeight="1" x14ac:dyDescent="0.25">
      <c r="B286" s="341"/>
      <c r="G286" s="233"/>
    </row>
    <row r="287" spans="1:28" ht="16.2" customHeight="1" x14ac:dyDescent="0.25">
      <c r="B287" s="341"/>
      <c r="G287" s="233"/>
    </row>
    <row r="288" spans="1:28" ht="16.2" customHeight="1" x14ac:dyDescent="0.25">
      <c r="B288" s="341"/>
      <c r="G288" s="233"/>
    </row>
    <row r="289" spans="2:7" ht="16.2" customHeight="1" x14ac:dyDescent="0.25">
      <c r="B289" s="341"/>
      <c r="G289" s="233"/>
    </row>
    <row r="290" spans="2:7" ht="16.2" customHeight="1" x14ac:dyDescent="0.25">
      <c r="B290" s="341"/>
      <c r="G290" s="233"/>
    </row>
    <row r="291" spans="2:7" ht="16.2" customHeight="1" x14ac:dyDescent="0.25">
      <c r="B291" s="341"/>
      <c r="G291" s="233"/>
    </row>
    <row r="292" spans="2:7" ht="16.2" customHeight="1" x14ac:dyDescent="0.25">
      <c r="B292" s="341"/>
      <c r="G292" s="233"/>
    </row>
    <row r="293" spans="2:7" ht="16.2" customHeight="1" x14ac:dyDescent="0.25">
      <c r="B293" s="341"/>
      <c r="G293" s="233"/>
    </row>
    <row r="294" spans="2:7" ht="16.2" customHeight="1" x14ac:dyDescent="0.25">
      <c r="B294" s="341"/>
      <c r="G294" s="233"/>
    </row>
    <row r="295" spans="2:7" ht="16.2" customHeight="1" x14ac:dyDescent="0.25">
      <c r="B295" s="341"/>
      <c r="G295" s="233"/>
    </row>
    <row r="296" spans="2:7" ht="16.2" customHeight="1" x14ac:dyDescent="0.25">
      <c r="B296" s="341"/>
      <c r="G296" s="233"/>
    </row>
    <row r="297" spans="2:7" ht="16.2" customHeight="1" x14ac:dyDescent="0.25">
      <c r="B297" s="341"/>
      <c r="G297" s="233"/>
    </row>
    <row r="298" spans="2:7" ht="16.2" customHeight="1" x14ac:dyDescent="0.25">
      <c r="B298" s="341"/>
      <c r="G298" s="233"/>
    </row>
    <row r="299" spans="2:7" ht="16.2" customHeight="1" x14ac:dyDescent="0.25">
      <c r="B299" s="341"/>
      <c r="G299" s="233"/>
    </row>
    <row r="300" spans="2:7" ht="16.2" customHeight="1" x14ac:dyDescent="0.25">
      <c r="B300" s="341"/>
      <c r="G300" s="233"/>
    </row>
    <row r="301" spans="2:7" ht="16.2" customHeight="1" x14ac:dyDescent="0.25">
      <c r="G301" s="233"/>
    </row>
    <row r="302" spans="2:7" ht="16.2" customHeight="1" x14ac:dyDescent="0.25">
      <c r="G302" s="233"/>
    </row>
    <row r="303" spans="2:7" ht="16.2" customHeight="1" x14ac:dyDescent="0.25">
      <c r="G303" s="233"/>
    </row>
    <row r="304" spans="2:7" ht="16.2" customHeight="1" x14ac:dyDescent="0.25">
      <c r="G304" s="233"/>
    </row>
    <row r="305" spans="7:7" ht="16.2" customHeight="1" x14ac:dyDescent="0.25">
      <c r="G305" s="233"/>
    </row>
    <row r="306" spans="7:7" ht="16.2" customHeight="1" x14ac:dyDescent="0.25">
      <c r="G306" s="233"/>
    </row>
    <row r="307" spans="7:7" ht="16.2" customHeight="1" x14ac:dyDescent="0.25">
      <c r="G307" s="233"/>
    </row>
    <row r="308" spans="7:7" ht="16.2" customHeight="1" x14ac:dyDescent="0.25">
      <c r="G308" s="233"/>
    </row>
    <row r="309" spans="7:7" ht="16.2" customHeight="1" x14ac:dyDescent="0.25">
      <c r="G309" s="233"/>
    </row>
    <row r="310" spans="7:7" ht="16.2" customHeight="1" x14ac:dyDescent="0.25">
      <c r="G310" s="233"/>
    </row>
    <row r="311" spans="7:7" ht="16.2" customHeight="1" x14ac:dyDescent="0.25">
      <c r="G311" s="233"/>
    </row>
    <row r="312" spans="7:7" ht="16.2" customHeight="1" x14ac:dyDescent="0.25">
      <c r="G312" s="233"/>
    </row>
    <row r="313" spans="7:7" ht="16.2" customHeight="1" x14ac:dyDescent="0.25">
      <c r="G313" s="233"/>
    </row>
    <row r="314" spans="7:7" ht="16.2" customHeight="1" x14ac:dyDescent="0.25">
      <c r="G314" s="233"/>
    </row>
    <row r="315" spans="7:7" ht="16.2" customHeight="1" x14ac:dyDescent="0.25">
      <c r="G315" s="233"/>
    </row>
    <row r="316" spans="7:7" ht="16.2" customHeight="1" x14ac:dyDescent="0.25">
      <c r="G316" s="233"/>
    </row>
    <row r="317" spans="7:7" ht="16.2" customHeight="1" x14ac:dyDescent="0.25">
      <c r="G317" s="233"/>
    </row>
    <row r="318" spans="7:7" ht="16.2" customHeight="1" x14ac:dyDescent="0.25">
      <c r="G318" s="233"/>
    </row>
    <row r="319" spans="7:7" ht="16.2" customHeight="1" x14ac:dyDescent="0.25">
      <c r="G319" s="233"/>
    </row>
    <row r="320" spans="7:7" ht="16.2" customHeight="1" x14ac:dyDescent="0.25">
      <c r="G320" s="233"/>
    </row>
    <row r="321" spans="7:7" ht="16.2" customHeight="1" x14ac:dyDescent="0.25">
      <c r="G321" s="233"/>
    </row>
    <row r="322" spans="7:7" ht="16.2" customHeight="1" x14ac:dyDescent="0.25">
      <c r="G322" s="233"/>
    </row>
    <row r="323" spans="7:7" ht="16.2" customHeight="1" x14ac:dyDescent="0.25">
      <c r="G323" s="233"/>
    </row>
    <row r="324" spans="7:7" ht="16.2" customHeight="1" x14ac:dyDescent="0.25">
      <c r="G324" s="233"/>
    </row>
    <row r="325" spans="7:7" ht="16.2" customHeight="1" x14ac:dyDescent="0.25">
      <c r="G325" s="233"/>
    </row>
    <row r="326" spans="7:7" ht="16.2" customHeight="1" x14ac:dyDescent="0.25">
      <c r="G326" s="233"/>
    </row>
    <row r="327" spans="7:7" ht="16.2" customHeight="1" x14ac:dyDescent="0.25">
      <c r="G327" s="233"/>
    </row>
    <row r="328" spans="7:7" ht="16.2" customHeight="1" x14ac:dyDescent="0.25">
      <c r="G328" s="233"/>
    </row>
    <row r="329" spans="7:7" ht="16.2" customHeight="1" x14ac:dyDescent="0.25">
      <c r="G329" s="233"/>
    </row>
    <row r="330" spans="7:7" ht="16.2" customHeight="1" x14ac:dyDescent="0.25">
      <c r="G330" s="233"/>
    </row>
    <row r="331" spans="7:7" ht="16.2" customHeight="1" x14ac:dyDescent="0.25">
      <c r="G331" s="233"/>
    </row>
    <row r="332" spans="7:7" ht="16.2" customHeight="1" x14ac:dyDescent="0.25">
      <c r="G332" s="233"/>
    </row>
    <row r="333" spans="7:7" ht="16.2" customHeight="1" x14ac:dyDescent="0.25">
      <c r="G333" s="233"/>
    </row>
    <row r="334" spans="7:7" ht="16.2" customHeight="1" x14ac:dyDescent="0.25">
      <c r="G334" s="233"/>
    </row>
    <row r="335" spans="7:7" ht="16.2" customHeight="1" x14ac:dyDescent="0.25">
      <c r="G335" s="233"/>
    </row>
    <row r="336" spans="7:7" ht="16.2" customHeight="1" x14ac:dyDescent="0.25">
      <c r="G336" s="233"/>
    </row>
    <row r="337" spans="7:7" ht="16.2" customHeight="1" x14ac:dyDescent="0.25">
      <c r="G337" s="233"/>
    </row>
    <row r="338" spans="7:7" ht="16.2" customHeight="1" x14ac:dyDescent="0.25">
      <c r="G338" s="233"/>
    </row>
    <row r="339" spans="7:7" ht="16.2" customHeight="1" x14ac:dyDescent="0.25">
      <c r="G339" s="233"/>
    </row>
    <row r="340" spans="7:7" ht="16.2" customHeight="1" x14ac:dyDescent="0.25">
      <c r="G340" s="233"/>
    </row>
    <row r="341" spans="7:7" ht="16.2" customHeight="1" x14ac:dyDescent="0.25">
      <c r="G341" s="233"/>
    </row>
    <row r="342" spans="7:7" ht="16.2" customHeight="1" x14ac:dyDescent="0.25">
      <c r="G342" s="233"/>
    </row>
    <row r="343" spans="7:7" ht="16.2" customHeight="1" x14ac:dyDescent="0.25">
      <c r="G343" s="233"/>
    </row>
    <row r="344" spans="7:7" ht="16.2" customHeight="1" x14ac:dyDescent="0.25">
      <c r="G344" s="233"/>
    </row>
    <row r="345" spans="7:7" ht="16.2" customHeight="1" x14ac:dyDescent="0.25">
      <c r="G345" s="233"/>
    </row>
    <row r="346" spans="7:7" ht="16.2" customHeight="1" x14ac:dyDescent="0.25">
      <c r="G346" s="233"/>
    </row>
    <row r="347" spans="7:7" ht="16.2" customHeight="1" x14ac:dyDescent="0.25">
      <c r="G347" s="233"/>
    </row>
    <row r="348" spans="7:7" ht="16.2" customHeight="1" x14ac:dyDescent="0.25">
      <c r="G348" s="233"/>
    </row>
    <row r="349" spans="7:7" ht="16.2" customHeight="1" x14ac:dyDescent="0.25">
      <c r="G349" s="233"/>
    </row>
    <row r="350" spans="7:7" ht="16.2" customHeight="1" x14ac:dyDescent="0.25">
      <c r="G350" s="233"/>
    </row>
    <row r="351" spans="7:7" ht="16.2" customHeight="1" x14ac:dyDescent="0.25">
      <c r="G351" s="233"/>
    </row>
    <row r="352" spans="7:7" ht="16.2" customHeight="1" x14ac:dyDescent="0.25">
      <c r="G352" s="233"/>
    </row>
    <row r="353" spans="7:7" ht="16.2" customHeight="1" x14ac:dyDescent="0.25">
      <c r="G353" s="233"/>
    </row>
    <row r="354" spans="7:7" ht="16.2" customHeight="1" x14ac:dyDescent="0.25">
      <c r="G354" s="233"/>
    </row>
    <row r="355" spans="7:7" ht="16.2" customHeight="1" x14ac:dyDescent="0.25">
      <c r="G355" s="233"/>
    </row>
    <row r="356" spans="7:7" ht="16.2" customHeight="1" x14ac:dyDescent="0.25">
      <c r="G356" s="233"/>
    </row>
    <row r="357" spans="7:7" ht="16.2" customHeight="1" x14ac:dyDescent="0.25">
      <c r="G357" s="233"/>
    </row>
    <row r="358" spans="7:7" ht="16.2" customHeight="1" x14ac:dyDescent="0.25">
      <c r="G358" s="233"/>
    </row>
    <row r="359" spans="7:7" ht="16.2" customHeight="1" x14ac:dyDescent="0.25">
      <c r="G359" s="233"/>
    </row>
    <row r="360" spans="7:7" ht="16.2" customHeight="1" x14ac:dyDescent="0.25">
      <c r="G360" s="233"/>
    </row>
    <row r="361" spans="7:7" ht="16.2" customHeight="1" x14ac:dyDescent="0.25">
      <c r="G361" s="233"/>
    </row>
    <row r="362" spans="7:7" ht="16.2" customHeight="1" x14ac:dyDescent="0.25">
      <c r="G362" s="233"/>
    </row>
    <row r="363" spans="7:7" ht="16.2" customHeight="1" x14ac:dyDescent="0.25">
      <c r="G363" s="233"/>
    </row>
    <row r="364" spans="7:7" ht="16.2" customHeight="1" x14ac:dyDescent="0.25">
      <c r="G364" s="233"/>
    </row>
    <row r="365" spans="7:7" ht="16.2" customHeight="1" x14ac:dyDescent="0.25">
      <c r="G365" s="233"/>
    </row>
    <row r="366" spans="7:7" ht="16.2" customHeight="1" x14ac:dyDescent="0.25">
      <c r="G366" s="233"/>
    </row>
    <row r="367" spans="7:7" ht="16.2" customHeight="1" x14ac:dyDescent="0.25">
      <c r="G367" s="233"/>
    </row>
    <row r="368" spans="7:7" ht="16.2" customHeight="1" x14ac:dyDescent="0.25">
      <c r="G368" s="233"/>
    </row>
    <row r="369" spans="7:7" ht="16.2" customHeight="1" x14ac:dyDescent="0.25">
      <c r="G369" s="233"/>
    </row>
    <row r="370" spans="7:7" ht="16.2" customHeight="1" x14ac:dyDescent="0.25">
      <c r="G370" s="233"/>
    </row>
    <row r="371" spans="7:7" ht="16.2" customHeight="1" x14ac:dyDescent="0.25"/>
    <row r="372" spans="7:7" ht="16.2" customHeight="1" x14ac:dyDescent="0.25"/>
    <row r="373" spans="7:7" ht="16.2" customHeight="1" x14ac:dyDescent="0.25"/>
    <row r="374" spans="7:7" ht="16.2" customHeight="1" x14ac:dyDescent="0.25"/>
    <row r="375" spans="7:7" ht="16.2" customHeight="1" x14ac:dyDescent="0.25"/>
    <row r="376" spans="7:7" ht="16.2" customHeight="1" x14ac:dyDescent="0.25"/>
    <row r="377" spans="7:7" ht="16.2" customHeight="1" x14ac:dyDescent="0.25"/>
    <row r="378" spans="7:7" ht="16.2" customHeight="1" x14ac:dyDescent="0.25"/>
    <row r="379" spans="7:7" ht="16.2" customHeight="1" x14ac:dyDescent="0.25"/>
    <row r="380" spans="7:7" ht="16.2" customHeight="1" x14ac:dyDescent="0.25"/>
    <row r="381" spans="7:7" ht="16.2" customHeight="1" x14ac:dyDescent="0.25"/>
    <row r="382" spans="7:7" ht="16.2" customHeight="1" x14ac:dyDescent="0.25"/>
    <row r="383" spans="7:7" ht="16.2" customHeight="1" x14ac:dyDescent="0.25"/>
    <row r="384" spans="7:7" ht="16.2" customHeight="1" x14ac:dyDescent="0.25"/>
    <row r="385" ht="16.2" customHeight="1" x14ac:dyDescent="0.25"/>
    <row r="386" ht="16.2" customHeight="1" x14ac:dyDescent="0.25"/>
    <row r="387" ht="16.2" customHeight="1" x14ac:dyDescent="0.25"/>
    <row r="388" ht="16.2" customHeight="1" x14ac:dyDescent="0.25"/>
    <row r="389" ht="16.2" customHeight="1" x14ac:dyDescent="0.25"/>
    <row r="390" ht="16.2" customHeight="1" x14ac:dyDescent="0.25"/>
    <row r="391" ht="16.2" customHeight="1" x14ac:dyDescent="0.25"/>
    <row r="392" ht="16.2" customHeight="1" x14ac:dyDescent="0.25"/>
    <row r="393" ht="16.2" customHeight="1" x14ac:dyDescent="0.25"/>
    <row r="394" ht="16.2" customHeight="1" x14ac:dyDescent="0.25"/>
    <row r="395" ht="16.2" customHeight="1" x14ac:dyDescent="0.25"/>
    <row r="396" ht="16.2" customHeight="1" x14ac:dyDescent="0.25"/>
    <row r="397" ht="16.2" customHeight="1" x14ac:dyDescent="0.25"/>
    <row r="398" ht="16.2" customHeight="1" x14ac:dyDescent="0.25"/>
    <row r="399" ht="16.2" customHeight="1" x14ac:dyDescent="0.25"/>
    <row r="400" ht="16.2" customHeight="1" x14ac:dyDescent="0.25"/>
    <row r="401" ht="16.2" customHeight="1" x14ac:dyDescent="0.25"/>
    <row r="402" ht="16.2" customHeight="1" x14ac:dyDescent="0.25"/>
    <row r="403" ht="16.2" customHeight="1" x14ac:dyDescent="0.25"/>
    <row r="404" ht="16.2" customHeight="1" x14ac:dyDescent="0.25"/>
    <row r="405" ht="16.2" customHeight="1" x14ac:dyDescent="0.25"/>
    <row r="406" ht="16.2" customHeight="1" x14ac:dyDescent="0.25"/>
    <row r="407" ht="16.2" customHeight="1" x14ac:dyDescent="0.25"/>
    <row r="408" ht="16.2" customHeight="1" x14ac:dyDescent="0.25"/>
    <row r="409" ht="16.2" customHeight="1" x14ac:dyDescent="0.25"/>
    <row r="410" ht="16.2" customHeight="1" x14ac:dyDescent="0.25"/>
    <row r="411" ht="16.2" customHeight="1" x14ac:dyDescent="0.25"/>
    <row r="412" ht="16.2" customHeight="1" x14ac:dyDescent="0.25"/>
    <row r="413" ht="16.2" customHeight="1" x14ac:dyDescent="0.25"/>
    <row r="414" ht="16.2" customHeight="1" x14ac:dyDescent="0.25"/>
    <row r="415" ht="16.2" customHeight="1" x14ac:dyDescent="0.25"/>
    <row r="416" ht="16.2" customHeight="1" x14ac:dyDescent="0.25"/>
    <row r="417" ht="16.2" customHeight="1" x14ac:dyDescent="0.25"/>
    <row r="418" ht="16.2" customHeight="1" x14ac:dyDescent="0.25"/>
    <row r="419" ht="16.2" customHeight="1" x14ac:dyDescent="0.25"/>
    <row r="420" ht="16.2" customHeight="1" x14ac:dyDescent="0.25"/>
    <row r="421" ht="16.2" customHeight="1" x14ac:dyDescent="0.25"/>
    <row r="422" ht="16.2" customHeight="1" x14ac:dyDescent="0.25"/>
    <row r="423" ht="16.2" customHeight="1" x14ac:dyDescent="0.25"/>
    <row r="424" ht="16.2" customHeight="1" x14ac:dyDescent="0.25"/>
    <row r="425" ht="16.2" customHeight="1" x14ac:dyDescent="0.25"/>
    <row r="426" ht="16.2" customHeight="1" x14ac:dyDescent="0.25"/>
    <row r="427" ht="16.2" customHeight="1" x14ac:dyDescent="0.25"/>
    <row r="428" ht="16.2" customHeight="1" x14ac:dyDescent="0.25"/>
    <row r="429" ht="16.2" customHeight="1" x14ac:dyDescent="0.25"/>
    <row r="430" ht="16.2" customHeight="1" x14ac:dyDescent="0.25"/>
    <row r="431" ht="16.2" customHeight="1" x14ac:dyDescent="0.25"/>
    <row r="432" ht="16.2" customHeight="1" x14ac:dyDescent="0.25"/>
    <row r="433" ht="16.2" customHeight="1" x14ac:dyDescent="0.25"/>
    <row r="434" ht="16.2" customHeight="1" x14ac:dyDescent="0.25"/>
    <row r="435" ht="16.2" customHeight="1" x14ac:dyDescent="0.25"/>
    <row r="436" ht="16.2" customHeight="1" x14ac:dyDescent="0.25"/>
    <row r="437" ht="16.2" customHeight="1" x14ac:dyDescent="0.25"/>
    <row r="438" ht="16.2" customHeight="1" x14ac:dyDescent="0.25"/>
    <row r="439" ht="16.2" customHeight="1" x14ac:dyDescent="0.25"/>
    <row r="440" ht="16.2" customHeight="1" x14ac:dyDescent="0.25"/>
    <row r="441" ht="16.2" customHeight="1" x14ac:dyDescent="0.25"/>
    <row r="442" ht="16.2" customHeight="1" x14ac:dyDescent="0.25"/>
    <row r="443" ht="16.2" customHeight="1" x14ac:dyDescent="0.25"/>
    <row r="444" ht="16.2" customHeight="1" x14ac:dyDescent="0.25"/>
    <row r="445" ht="16.2" customHeight="1" x14ac:dyDescent="0.25"/>
    <row r="446" ht="16.2" customHeight="1" x14ac:dyDescent="0.25"/>
    <row r="447" ht="16.2" customHeight="1" x14ac:dyDescent="0.25"/>
    <row r="448" ht="16.2" customHeight="1" x14ac:dyDescent="0.25"/>
    <row r="449" ht="16.2" customHeight="1" x14ac:dyDescent="0.25"/>
    <row r="450" ht="16.2" customHeight="1" x14ac:dyDescent="0.25"/>
    <row r="451" ht="16.2" customHeight="1" x14ac:dyDescent="0.25"/>
    <row r="452" ht="16.2" customHeight="1" x14ac:dyDescent="0.25"/>
    <row r="453" ht="16.2" customHeight="1" x14ac:dyDescent="0.25"/>
    <row r="454" ht="16.2" customHeight="1" x14ac:dyDescent="0.25"/>
    <row r="455" ht="16.2" customHeight="1" x14ac:dyDescent="0.25"/>
    <row r="456" ht="16.2" customHeight="1" x14ac:dyDescent="0.25"/>
    <row r="457" ht="16.2" customHeight="1" x14ac:dyDescent="0.25"/>
    <row r="458" ht="16.2" customHeight="1" x14ac:dyDescent="0.25"/>
    <row r="459" ht="16.2" customHeight="1" x14ac:dyDescent="0.25"/>
    <row r="460" ht="16.2" customHeight="1" x14ac:dyDescent="0.25"/>
    <row r="461" ht="16.2" customHeight="1" x14ac:dyDescent="0.25"/>
    <row r="462" ht="16.2" customHeight="1" x14ac:dyDescent="0.25"/>
    <row r="463" ht="16.2" customHeight="1" x14ac:dyDescent="0.25"/>
    <row r="464" ht="16.2" customHeight="1" x14ac:dyDescent="0.25"/>
  </sheetData>
  <sheetProtection selectLockedCells="1" selectUnlockedCells="1"/>
  <autoFilter ref="A3:AB276" xr:uid="{61258D9C-19F9-43CF-9F9A-1A2ADBF66194}"/>
  <mergeCells count="14">
    <mergeCell ref="C247:AA247"/>
    <mergeCell ref="C265:AA265"/>
    <mergeCell ref="C88:AA88"/>
    <mergeCell ref="C112:AA112"/>
    <mergeCell ref="C126:AA126"/>
    <mergeCell ref="C146:AA146"/>
    <mergeCell ref="C170:AA170"/>
    <mergeCell ref="C212:AA212"/>
    <mergeCell ref="C71:AA71"/>
    <mergeCell ref="B1:G1"/>
    <mergeCell ref="J1:AA1"/>
    <mergeCell ref="C5:AA5"/>
    <mergeCell ref="C27:AA27"/>
    <mergeCell ref="C49:AA49"/>
  </mergeCells>
  <hyperlinks>
    <hyperlink ref="AB8" r:id="rId1" xr:uid="{F643B142-366D-403F-9C50-F50BB99A8386}"/>
    <hyperlink ref="AB9" r:id="rId2" xr:uid="{5FC99226-0367-4468-A924-882DBC96AC35}"/>
    <hyperlink ref="AB10" r:id="rId3" xr:uid="{14CD906A-974C-4340-AD38-E3A1FD8C8EBB}"/>
    <hyperlink ref="AB11" r:id="rId4" xr:uid="{E9175D0B-9641-4A19-A038-987EA0750D9A}"/>
    <hyperlink ref="AB12" r:id="rId5" xr:uid="{858D97B4-8BE5-4B9A-8788-6081F6879A0F}"/>
    <hyperlink ref="AB18" r:id="rId6" xr:uid="{5BACC0E5-DFEF-4573-B15F-7440D8609054}"/>
    <hyperlink ref="AB19" r:id="rId7" xr:uid="{AA5FBF11-0903-48FB-8F4E-07246F9F9ABE}"/>
    <hyperlink ref="AB20" r:id="rId8" xr:uid="{817035BF-FB9F-4084-B1F9-515D2B9AD84F}"/>
    <hyperlink ref="AB21" r:id="rId9" xr:uid="{959A602F-91EB-40E4-AC32-8E7DBA047D54}"/>
    <hyperlink ref="AB25" r:id="rId10" xr:uid="{287CA688-130E-451C-9CAD-DDDD5C1BB4A5}"/>
    <hyperlink ref="AB31" r:id="rId11" xr:uid="{0ABE8088-C0A9-412E-BF55-9CB0A25FB29E}"/>
    <hyperlink ref="AB33" r:id="rId12" xr:uid="{85315F09-C448-4A6E-AC42-27310E4B99DE}"/>
    <hyperlink ref="AB42" r:id="rId13" xr:uid="{FEA3B28D-2EFA-463D-B1D1-E3604BBB1A12}"/>
    <hyperlink ref="AB41" r:id="rId14" xr:uid="{15ED1CA2-AAD5-4548-AE97-D4F701589526}"/>
    <hyperlink ref="AB43" r:id="rId15" xr:uid="{50114FFC-180B-4027-BF8B-53B4F5FE85E7}"/>
    <hyperlink ref="AB40" r:id="rId16" xr:uid="{0F918934-D5C1-4E68-9AC4-FF0126EE171C}"/>
    <hyperlink ref="AB47" r:id="rId17" xr:uid="{C79D9ED4-50F2-4E86-9686-ED619734ECF1}"/>
    <hyperlink ref="AB46" r:id="rId18" xr:uid="{44E8283F-BE1D-4173-AA7F-D2CFEF62EEFB}"/>
    <hyperlink ref="AB51" r:id="rId19" xr:uid="{D9CD2A68-83AB-4A1C-9DED-84D59616156C}"/>
    <hyperlink ref="AB55" r:id="rId20" xr:uid="{142973C8-04E6-49B4-8083-EC3D9BAD16D9}"/>
    <hyperlink ref="AB56" r:id="rId21" xr:uid="{165E7625-5997-492E-BE18-8CD324CCABB1}"/>
    <hyperlink ref="AB54" r:id="rId22" xr:uid="{02612E1D-254D-4F40-ABD6-55AC6E5DA666}"/>
    <hyperlink ref="AB67" r:id="rId23" xr:uid="{1E0AA33C-670B-43A4-9BA6-55B37CF1EBEB}"/>
    <hyperlink ref="AB68" r:id="rId24" xr:uid="{2D67AD2B-D817-4EB6-8A35-70D03F1636C0}"/>
    <hyperlink ref="AB69" r:id="rId25" xr:uid="{B51E1F85-29B6-4800-8D80-C9FFC884C8FF}"/>
    <hyperlink ref="AB79" r:id="rId26" xr:uid="{17F1D222-47A8-4564-B64B-57F90789BE54}"/>
    <hyperlink ref="AB74" r:id="rId27" xr:uid="{998D9A8B-9040-48A3-831C-F9D09C8A94A8}"/>
    <hyperlink ref="AB75" r:id="rId28" xr:uid="{12EABA0E-2EEA-41B5-BDCC-F11317B1F7BA}"/>
    <hyperlink ref="AB78" r:id="rId29" xr:uid="{472ABCFA-ED85-436A-A920-81DE63519FFD}"/>
    <hyperlink ref="AB81" r:id="rId30" xr:uid="{1F3E58C0-1763-4379-8AB8-50E9776F0011}"/>
    <hyperlink ref="AB83" r:id="rId31" xr:uid="{697B3731-E4F0-4ABC-8016-E9CC905A1AC5}"/>
    <hyperlink ref="AB106" r:id="rId32" xr:uid="{8ADF1568-7D18-4E07-B1E1-097E3B4545FC}"/>
    <hyperlink ref="AB96" r:id="rId33" xr:uid="{2A25EE3C-ECE6-4262-9977-DA4A50A1DA9E}"/>
    <hyperlink ref="AB109" r:id="rId34" xr:uid="{E457C72F-1CD2-41F1-A79B-66649EB5BF10}"/>
    <hyperlink ref="AB110" r:id="rId35" xr:uid="{526D7B78-D96C-45C8-87B5-D158047211E9}"/>
    <hyperlink ref="AB107" r:id="rId36" xr:uid="{0C6675AD-B0E8-4403-9982-2A234F29A6D9}"/>
    <hyperlink ref="AB108" r:id="rId37" xr:uid="{7D1EF44D-FFA3-4C22-A868-7512375C24F7}"/>
    <hyperlink ref="AB105" r:id="rId38" xr:uid="{78640054-8E79-40C0-80F8-93E4C60176AE}"/>
    <hyperlink ref="AB115" r:id="rId39" xr:uid="{B9D7A811-4E3D-40B4-A0C1-F38953834E08}"/>
    <hyperlink ref="AB117" r:id="rId40" xr:uid="{5B622519-ADAD-4E64-9838-6C0B39D3CAE6}"/>
    <hyperlink ref="AB119" r:id="rId41" xr:uid="{986DB4B1-D477-4792-97ED-6600AF95B8EB}"/>
    <hyperlink ref="AB121" r:id="rId42" xr:uid="{D631A6CD-9207-4371-A5A6-2A06D6B865E5}"/>
    <hyperlink ref="AB122" r:id="rId43" xr:uid="{E2B30295-99D9-4945-B4C2-C096EF60A12F}"/>
    <hyperlink ref="AB123" r:id="rId44" xr:uid="{62A81A82-CEB1-4754-BE70-4C78F30DFFD4}"/>
    <hyperlink ref="AB128" r:id="rId45" xr:uid="{590EFF97-639F-400F-A058-E97F56D6282D}"/>
    <hyperlink ref="AB135" r:id="rId46" xr:uid="{F6FDE73B-4B70-4158-A5A9-AA327C3BC0F9}"/>
    <hyperlink ref="AB129" r:id="rId47" xr:uid="{09358BBA-2A38-4C62-A6F2-1C11944FDC7C}"/>
    <hyperlink ref="AB130" r:id="rId48" xr:uid="{204445DB-7E03-4F9B-8898-056A7465D425}"/>
    <hyperlink ref="AB134" r:id="rId49" xr:uid="{6CE41CF8-CAD0-4319-BEC2-762544C8C0B7}"/>
    <hyperlink ref="AB131" r:id="rId50" xr:uid="{DB0E73E1-3340-4593-ACA5-57A579B22E29}"/>
    <hyperlink ref="AB148" r:id="rId51" xr:uid="{0AE52D6D-08B4-446B-BB2A-39DB6A101B5C}"/>
    <hyperlink ref="AB164" r:id="rId52" xr:uid="{53182510-E287-49E7-BBEE-0F8C9ED77F4D}"/>
    <hyperlink ref="AB161" r:id="rId53" xr:uid="{9D91647A-7842-4E0C-9D96-6D8150AAAF2A}"/>
    <hyperlink ref="AB152" r:id="rId54" xr:uid="{8F13B918-ABC8-4CF5-8B8B-206C5CCE33A3}"/>
    <hyperlink ref="AB162" r:id="rId55" xr:uid="{80D7E661-7580-455F-9097-22130BC229AD}"/>
    <hyperlink ref="AB165" r:id="rId56" xr:uid="{88583AB4-4F6E-4B8E-9E0B-205FBC714150}"/>
    <hyperlink ref="AB157" r:id="rId57" xr:uid="{EA09A771-A0AA-4275-8230-470C5300C16C}"/>
    <hyperlink ref="AB150" r:id="rId58" xr:uid="{3E692179-80DC-44F8-B1EA-744F09A5345C}"/>
    <hyperlink ref="AB154" r:id="rId59" xr:uid="{C7E8A77C-1225-4F8C-B9A7-DE92057759AD}"/>
    <hyperlink ref="AB153" r:id="rId60" xr:uid="{D0750509-6B4D-4FE5-8A0B-AF4DC939836B}"/>
    <hyperlink ref="AB156" r:id="rId61" xr:uid="{4572949B-7481-45DF-834E-C8EDBF0BF17E}"/>
    <hyperlink ref="AB149" r:id="rId62" xr:uid="{85F94CF7-EF07-40F2-9C10-24C7C6ABB344}"/>
    <hyperlink ref="AB168" r:id="rId63" xr:uid="{FDBD7519-9646-42BE-8B78-DCA3C7B94623}"/>
    <hyperlink ref="AB151" r:id="rId64" xr:uid="{4D8EC956-7BDB-4BFA-A32B-95FB28AD12CA}"/>
    <hyperlink ref="AB198" r:id="rId65" xr:uid="{C5E399E5-278F-4289-8A8C-6D61960258CB}"/>
    <hyperlink ref="AB210" r:id="rId66" xr:uid="{948F62CB-0B87-41D2-A5CC-2A7748E69061}"/>
    <hyperlink ref="AB193" r:id="rId67" xr:uid="{2DE62196-606D-4013-95F9-71C40664F5AA}"/>
    <hyperlink ref="AB187" r:id="rId68" xr:uid="{AD23EDC4-3B57-49C1-AD73-76F90B59E537}"/>
    <hyperlink ref="AB188" r:id="rId69" xr:uid="{FA1C724B-0D5D-419D-9C02-278F10870920}"/>
    <hyperlink ref="AB177" r:id="rId70" xr:uid="{43AE7DE8-A556-4C80-B6CE-8D905DED7CEA}"/>
    <hyperlink ref="AB192" r:id="rId71" xr:uid="{9779F1F3-E432-4FAF-A845-111326DFE8E7}"/>
    <hyperlink ref="AB176" r:id="rId72" xr:uid="{419BFC30-E766-46CC-A74E-47997F6F1368}"/>
    <hyperlink ref="AB191" r:id="rId73" xr:uid="{9F3F5E34-166A-4FD8-8F2D-4D6C7983431C}"/>
    <hyperlink ref="AB196" r:id="rId74" xr:uid="{DD44EE03-0ED0-4FB4-AC24-8612554F6491}"/>
    <hyperlink ref="AB201" r:id="rId75" xr:uid="{42543443-7D86-4C46-ADDE-7C55B42DE2AC}"/>
    <hyperlink ref="AB178" r:id="rId76" xr:uid="{B77DE034-4D18-4388-A785-3F9ED5DF69D1}"/>
    <hyperlink ref="AB185" r:id="rId77" xr:uid="{3E1BF1BD-DD66-4F74-9D58-4BF9A86C2D91}"/>
    <hyperlink ref="AB200" r:id="rId78" xr:uid="{51060B43-4B90-4552-963D-65104588EDA8}"/>
    <hyperlink ref="AB203" r:id="rId79" xr:uid="{5CBF2DE2-F5F4-41E2-99AE-C34D371034FF}"/>
    <hyperlink ref="AB202" r:id="rId80" xr:uid="{A76F2323-71A3-405B-8F4F-F1F80F62049C}"/>
    <hyperlink ref="AB182" r:id="rId81" xr:uid="{A5B0B8D9-92E0-4963-9A76-C02E612A7477}"/>
    <hyperlink ref="AB183" r:id="rId82" xr:uid="{F9618154-91E5-4975-935F-999F2AE045B3}"/>
    <hyperlink ref="AB204" r:id="rId83" xr:uid="{AB2ACD48-8801-4B21-9A1C-5D8A06231A39}"/>
    <hyperlink ref="AB206" r:id="rId84" xr:uid="{019AA4FE-6353-4A53-BDE8-E07FF478C445}"/>
    <hyperlink ref="AB205" r:id="rId85" xr:uid="{7E8324A0-CC4A-4D67-8BFD-AD3E1867A017}"/>
    <hyperlink ref="AB195" r:id="rId86" xr:uid="{168331AA-E656-4B4C-82AB-3E1F00629818}"/>
    <hyperlink ref="AB194" r:id="rId87" xr:uid="{CDBEE569-9F1F-4841-A059-338FC5FD4B00}"/>
    <hyperlink ref="AB197" r:id="rId88" xr:uid="{90E058FC-A6C2-42A4-8E98-F1347376402F}"/>
    <hyperlink ref="AB275" r:id="rId89" xr:uid="{41D72C0C-2E85-4DC3-BCB7-1AF03A34555D}"/>
    <hyperlink ref="AB276" r:id="rId90" xr:uid="{18BB346A-A891-404C-84A8-FE5A8FED8F5D}"/>
    <hyperlink ref="AB272" r:id="rId91" xr:uid="{8A7542AC-68A9-40D0-96F2-831E8A72371F}"/>
    <hyperlink ref="AB274" r:id="rId92" xr:uid="{9501F05E-1EA4-4390-BA62-1E8FC4EBBA4C}"/>
    <hyperlink ref="AB251" r:id="rId93" xr:uid="{AD4F9184-6802-4E5F-AAC7-1D11479B6CF7}"/>
    <hyperlink ref="AB256" r:id="rId94" xr:uid="{98348E83-2D7E-42EE-A06E-76FE0F886F31}"/>
    <hyperlink ref="AB261" r:id="rId95" xr:uid="{5C865F19-1090-4632-803E-3C1DFE52E0BA}"/>
    <hyperlink ref="AB254" r:id="rId96" xr:uid="{76DE8B53-8A98-41D1-ADB9-7D6B84B4F55C}"/>
    <hyperlink ref="AB253" r:id="rId97" xr:uid="{131309BC-AC36-4A55-B401-E4277C28392F}"/>
    <hyperlink ref="AB252" r:id="rId98" xr:uid="{1BC1C52F-63DD-4CF8-9A8D-038EF9F75278}"/>
    <hyperlink ref="AB220" r:id="rId99" xr:uid="{B3886382-F719-42FA-8DD7-2C3976DE98E6}"/>
    <hyperlink ref="AB221" r:id="rId100" xr:uid="{21705124-2134-4571-B3B9-146658AC0527}"/>
    <hyperlink ref="AB224" r:id="rId101" xr:uid="{3AFAE4E7-6413-4816-8BDB-92C766F08ABB}"/>
    <hyperlink ref="AB240" r:id="rId102" xr:uid="{478A3A4A-A834-4DC6-B49C-C0CCEA6658DB}"/>
    <hyperlink ref="AB226" r:id="rId103" xr:uid="{ED53CE7C-7B68-4817-92D0-865BAFB49E70}"/>
    <hyperlink ref="AB242" r:id="rId104" xr:uid="{0406C80F-A657-45F2-BF3A-88D0878D6FFE}"/>
    <hyperlink ref="AB243" r:id="rId105" xr:uid="{4FEBDC46-E453-46A5-82D7-2D4B6293423D}"/>
    <hyperlink ref="AB241" r:id="rId106" xr:uid="{CFADA4FF-F33F-40DF-A2CA-383448B2B19A}"/>
    <hyperlink ref="AB233" r:id="rId107" xr:uid="{7BBFE423-B97B-4412-B47F-F34D49CE52D8}"/>
    <hyperlink ref="AB225" r:id="rId108" xr:uid="{00ED8282-1D29-4C89-A7D8-3694359C6857}"/>
    <hyperlink ref="AB245" r:id="rId109" xr:uid="{2C0F2C53-5474-43BB-B816-9DBB215081EA}"/>
    <hyperlink ref="AB239" r:id="rId110" xr:uid="{C46CCAA3-219B-48A5-9807-82CDA815A391}"/>
    <hyperlink ref="AB244" r:id="rId111" xr:uid="{7CC46662-E920-4A75-9E62-E387F909FD6D}"/>
    <hyperlink ref="AB222" r:id="rId112" xr:uid="{7F805D11-6F59-4914-AD91-31E921E9A12A}"/>
    <hyperlink ref="AB223" r:id="rId113" xr:uid="{5D6E2CDB-7D17-4A83-B9AE-38612B17EA9B}"/>
    <hyperlink ref="AB238" r:id="rId114" xr:uid="{CD5FE8FD-E29B-441C-A103-E6429CBBCEF5}"/>
    <hyperlink ref="AB227" r:id="rId115" xr:uid="{36D68E2A-5701-46B7-BD99-E4C21BEBB52B}"/>
    <hyperlink ref="AB76" r:id="rId116" xr:uid="{4F5A19AE-FF61-4585-860C-3EF299405A91}"/>
  </hyperlinks>
  <printOptions horizontalCentered="1" verticalCentered="1"/>
  <pageMargins left="0.19685039370078741" right="0.19685039370078741" top="0.39370078740157483" bottom="0.39370078740157483" header="0.39370078740157483" footer="0.39370078740157483"/>
  <pageSetup paperSize="9" scale="48" firstPageNumber="0" fitToHeight="0" orientation="landscape" horizontalDpi="300" verticalDpi="300" r:id="rId117"/>
  <headerFooter>
    <oddFooter>&amp;RPage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9</vt:i4>
      </vt:variant>
      <vt:variant>
        <vt:lpstr>Plages nommées</vt:lpstr>
      </vt:variant>
      <vt:variant>
        <vt:i4>7</vt:i4>
      </vt:variant>
    </vt:vector>
  </HeadingPairs>
  <TitlesOfParts>
    <vt:vector size="16" baseType="lpstr">
      <vt:lpstr>Résultats Ligues et Amical</vt:lpstr>
      <vt:lpstr>Résultats Comp Fédérales</vt:lpstr>
      <vt:lpstr>Bowlings</vt:lpstr>
      <vt:lpstr>Classt saison Ligues-Amical</vt:lpstr>
      <vt:lpstr>Classt saison Comp Fédérales</vt:lpstr>
      <vt:lpstr>Classement saison T.C.C.</vt:lpstr>
      <vt:lpstr>Classement CDC</vt:lpstr>
      <vt:lpstr>listing fédéral</vt:lpstr>
      <vt:lpstr>Calendrier Fédéral 2025-26</vt:lpstr>
      <vt:lpstr>'Calendrier Fédéral 2025-26'!Impression_des_titres</vt:lpstr>
      <vt:lpstr>Bowlings!Zone_d_impression</vt:lpstr>
      <vt:lpstr>'Calendrier Fédéral 2025-26'!Zone_d_impression</vt:lpstr>
      <vt:lpstr>'Classement saison T.C.C.'!Zone_d_impression</vt:lpstr>
      <vt:lpstr>'Classt saison Comp Fédérales'!Zone_d_impression</vt:lpstr>
      <vt:lpstr>'Classt saison Ligues-Amical'!Zone_d_impression</vt:lpstr>
      <vt:lpstr>'listing fédéral'!Zone_d_impression</vt:lpstr>
    </vt:vector>
  </TitlesOfParts>
  <Company>Giat Industries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u9006608</dc:creator>
  <cp:lastModifiedBy>Philippe DELORT</cp:lastModifiedBy>
  <cp:lastPrinted>2024-05-13T13:50:35Z</cp:lastPrinted>
  <dcterms:created xsi:type="dcterms:W3CDTF">2011-11-22T06:12:46Z</dcterms:created>
  <dcterms:modified xsi:type="dcterms:W3CDTF">2025-12-21T21:10:38Z</dcterms:modified>
</cp:coreProperties>
</file>